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FD67495B-FDE4-4B48-A168-85B68E799C36}" xr6:coauthVersionLast="47" xr6:coauthVersionMax="47" xr10:uidLastSave="{00000000-0000-0000-0000-000000000000}"/>
  <bookViews>
    <workbookView xWindow="28680" yWindow="-120" windowWidth="20730" windowHeight="11040" tabRatio="909" xr2:uid="{00000000-000D-0000-FFFF-FFFF00000000}"/>
  </bookViews>
  <sheets>
    <sheet name="INSTRUÇOES PARA PREENCHIMENTO" sheetId="14" r:id="rId1"/>
    <sheet name="Proposta de Preços" sheetId="13" r:id="rId2"/>
    <sheet name="NP" sheetId="1" r:id="rId3"/>
    <sheet name="PC" sheetId="2" r:id="rId4"/>
    <sheet name="Salários.VA.VT.QteDias.LDI.T" sheetId="3" r:id="rId5"/>
    <sheet name="Gás" sheetId="4" r:id="rId6"/>
    <sheet name="GA" sheetId="5" r:id="rId7"/>
    <sheet name="MLHCC - Ônus da Contratada" sheetId="6" r:id="rId8"/>
    <sheet name="MCC - Sob Demanda" sheetId="7" r:id="rId9"/>
    <sheet name="MLPH" sheetId="8" r:id="rId10"/>
    <sheet name="Unif" sheetId="9" r:id="rId11"/>
    <sheet name="EPI´s - LC" sheetId="10" r:id="rId12"/>
    <sheet name="AAII" sheetId="11" r:id="rId13"/>
    <sheet name="SLCeCopeiragem" sheetId="12" r:id="rId14"/>
  </sheets>
  <externalReferences>
    <externalReference r:id="rId15"/>
    <externalReference r:id="rId16"/>
    <externalReference r:id="rId17"/>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46" i="13" l="1"/>
  <c r="F46" i="13"/>
  <c r="E50" i="13"/>
  <c r="F50" i="13"/>
  <c r="C54" i="13" l="1"/>
  <c r="E54" i="13"/>
  <c r="F111" i="11" l="1"/>
  <c r="D37" i="13" l="1"/>
  <c r="D36" i="13"/>
  <c r="D38" i="13" s="1"/>
  <c r="D140" i="12"/>
  <c r="C140" i="12"/>
  <c r="A140" i="12"/>
  <c r="E125" i="12"/>
  <c r="E120" i="12"/>
  <c r="E119" i="12"/>
  <c r="E97" i="12"/>
  <c r="E96" i="12"/>
  <c r="E95" i="12"/>
  <c r="E94" i="12"/>
  <c r="E87" i="12"/>
  <c r="E86" i="12"/>
  <c r="E85" i="12"/>
  <c r="E84" i="12"/>
  <c r="E88" i="12" s="1"/>
  <c r="E83" i="12"/>
  <c r="E82" i="12"/>
  <c r="D65" i="12"/>
  <c r="D63" i="12"/>
  <c r="B63" i="12"/>
  <c r="E59" i="12"/>
  <c r="E47" i="12"/>
  <c r="E46" i="12"/>
  <c r="D140" i="11"/>
  <c r="C140" i="11"/>
  <c r="A140" i="11"/>
  <c r="E125" i="11"/>
  <c r="E120" i="11"/>
  <c r="E119" i="11"/>
  <c r="F115" i="11"/>
  <c r="F133" i="11" s="1"/>
  <c r="E99" i="11"/>
  <c r="E97" i="11"/>
  <c r="E96" i="11"/>
  <c r="E95" i="11"/>
  <c r="E94" i="11"/>
  <c r="E87" i="11"/>
  <c r="E86" i="11"/>
  <c r="E85" i="11"/>
  <c r="E84" i="11"/>
  <c r="E83" i="11"/>
  <c r="E82" i="11"/>
  <c r="E88" i="11" s="1"/>
  <c r="D65" i="11"/>
  <c r="D63" i="11"/>
  <c r="E59" i="11"/>
  <c r="E47" i="11"/>
  <c r="E46" i="11"/>
  <c r="E48" i="11" s="1"/>
  <c r="C28" i="11"/>
  <c r="F34" i="11" s="1"/>
  <c r="C6" i="10"/>
  <c r="E4" i="10"/>
  <c r="E6" i="10" s="1"/>
  <c r="E8" i="10" s="1"/>
  <c r="F114" i="12" s="1"/>
  <c r="E3" i="10"/>
  <c r="F34" i="9"/>
  <c r="G33" i="9"/>
  <c r="H33" i="9" s="1"/>
  <c r="I33" i="9" s="1"/>
  <c r="H32" i="9"/>
  <c r="I32" i="9" s="1"/>
  <c r="G32" i="9"/>
  <c r="G31" i="9"/>
  <c r="H31" i="9" s="1"/>
  <c r="I31" i="9" s="1"/>
  <c r="H30" i="9"/>
  <c r="I30" i="9" s="1"/>
  <c r="G30" i="9"/>
  <c r="G29" i="9"/>
  <c r="G34" i="9" s="1"/>
  <c r="F19" i="9"/>
  <c r="F23" i="9" s="1"/>
  <c r="H18" i="9"/>
  <c r="I18" i="9" s="1"/>
  <c r="G18" i="9"/>
  <c r="G17" i="9"/>
  <c r="H17" i="9" s="1"/>
  <c r="I17" i="9" s="1"/>
  <c r="H16" i="9"/>
  <c r="I16" i="9" s="1"/>
  <c r="G16" i="9"/>
  <c r="G15" i="9"/>
  <c r="H15" i="9" s="1"/>
  <c r="I15" i="9" s="1"/>
  <c r="G14" i="9"/>
  <c r="G19" i="9" s="1"/>
  <c r="F10" i="9"/>
  <c r="G9" i="9"/>
  <c r="H9" i="9" s="1"/>
  <c r="I9" i="9" s="1"/>
  <c r="I8" i="9"/>
  <c r="H8" i="9"/>
  <c r="G8" i="9"/>
  <c r="G7" i="9"/>
  <c r="H7" i="9" s="1"/>
  <c r="I7" i="9" s="1"/>
  <c r="G6" i="9"/>
  <c r="H6" i="9" s="1"/>
  <c r="I6" i="9" s="1"/>
  <c r="G5" i="9"/>
  <c r="G10" i="9" s="1"/>
  <c r="H4" i="9"/>
  <c r="I4" i="9" s="1"/>
  <c r="G4" i="9"/>
  <c r="D89" i="8"/>
  <c r="G86" i="8"/>
  <c r="A86" i="8"/>
  <c r="G85" i="8"/>
  <c r="A85" i="8"/>
  <c r="G84" i="8"/>
  <c r="A84" i="8"/>
  <c r="G83" i="8"/>
  <c r="A83" i="8"/>
  <c r="G82" i="8"/>
  <c r="A82" i="8"/>
  <c r="G81" i="8"/>
  <c r="A81" i="8"/>
  <c r="G80" i="8"/>
  <c r="A80" i="8"/>
  <c r="G79" i="8"/>
  <c r="A79" i="8"/>
  <c r="G78" i="8"/>
  <c r="A78" i="8"/>
  <c r="G77" i="8"/>
  <c r="A77" i="8"/>
  <c r="G76" i="8"/>
  <c r="A76" i="8"/>
  <c r="G75" i="8"/>
  <c r="A75" i="8"/>
  <c r="G74" i="8"/>
  <c r="A74" i="8"/>
  <c r="G73" i="8"/>
  <c r="A73" i="8"/>
  <c r="G72" i="8"/>
  <c r="A72" i="8"/>
  <c r="G71" i="8"/>
  <c r="A71" i="8"/>
  <c r="G70" i="8"/>
  <c r="A70" i="8"/>
  <c r="G69" i="8"/>
  <c r="A69" i="8"/>
  <c r="G68" i="8"/>
  <c r="A68" i="8"/>
  <c r="G67" i="8"/>
  <c r="A67" i="8"/>
  <c r="G66" i="8"/>
  <c r="A66" i="8"/>
  <c r="G65" i="8"/>
  <c r="A65" i="8"/>
  <c r="G64" i="8"/>
  <c r="A64" i="8"/>
  <c r="G63" i="8"/>
  <c r="A63" i="8"/>
  <c r="G62" i="8"/>
  <c r="A62" i="8"/>
  <c r="G61" i="8"/>
  <c r="A61" i="8"/>
  <c r="G60" i="8"/>
  <c r="A60" i="8"/>
  <c r="G59" i="8"/>
  <c r="A59" i="8"/>
  <c r="G58" i="8"/>
  <c r="A58" i="8"/>
  <c r="G57" i="8"/>
  <c r="A57" i="8"/>
  <c r="G56" i="8"/>
  <c r="A56" i="8"/>
  <c r="G55" i="8"/>
  <c r="A55" i="8"/>
  <c r="G54" i="8"/>
  <c r="A54" i="8"/>
  <c r="G53" i="8"/>
  <c r="A53" i="8"/>
  <c r="G52" i="8"/>
  <c r="A52" i="8"/>
  <c r="G51" i="8"/>
  <c r="A51" i="8"/>
  <c r="G50" i="8"/>
  <c r="A50" i="8"/>
  <c r="G49" i="8"/>
  <c r="A49" i="8"/>
  <c r="G48" i="8"/>
  <c r="A48" i="8"/>
  <c r="G47" i="8"/>
  <c r="A47" i="8"/>
  <c r="G46" i="8"/>
  <c r="A46" i="8"/>
  <c r="G45" i="8"/>
  <c r="A45" i="8"/>
  <c r="G44" i="8"/>
  <c r="A44" i="8"/>
  <c r="G43" i="8"/>
  <c r="A43" i="8"/>
  <c r="G42" i="8"/>
  <c r="A42" i="8"/>
  <c r="G41" i="8"/>
  <c r="A41" i="8"/>
  <c r="G40" i="8"/>
  <c r="A40" i="8"/>
  <c r="G39" i="8"/>
  <c r="A39" i="8"/>
  <c r="G38" i="8"/>
  <c r="A38" i="8"/>
  <c r="G37" i="8"/>
  <c r="A37" i="8"/>
  <c r="G36" i="8"/>
  <c r="A36" i="8"/>
  <c r="G35" i="8"/>
  <c r="A35" i="8"/>
  <c r="G34" i="8"/>
  <c r="A34" i="8"/>
  <c r="G33" i="8"/>
  <c r="A33" i="8"/>
  <c r="G32" i="8"/>
  <c r="A32" i="8"/>
  <c r="G31" i="8"/>
  <c r="A31" i="8"/>
  <c r="G30" i="8"/>
  <c r="A30" i="8"/>
  <c r="G29" i="8"/>
  <c r="A29" i="8"/>
  <c r="G28" i="8"/>
  <c r="A28" i="8"/>
  <c r="G27" i="8"/>
  <c r="A27" i="8"/>
  <c r="G26" i="8"/>
  <c r="A26" i="8"/>
  <c r="G25" i="8"/>
  <c r="A25" i="8"/>
  <c r="G24" i="8"/>
  <c r="A24" i="8"/>
  <c r="G23" i="8"/>
  <c r="A23" i="8"/>
  <c r="G22" i="8"/>
  <c r="A22" i="8"/>
  <c r="G21" i="8"/>
  <c r="A21" i="8"/>
  <c r="G20" i="8"/>
  <c r="A20" i="8"/>
  <c r="G19" i="8"/>
  <c r="A19" i="8"/>
  <c r="G18" i="8"/>
  <c r="A18" i="8"/>
  <c r="G17" i="8"/>
  <c r="A17" i="8"/>
  <c r="G16" i="8"/>
  <c r="A16" i="8"/>
  <c r="G15" i="8"/>
  <c r="A15" i="8"/>
  <c r="G14" i="8"/>
  <c r="A14" i="8"/>
  <c r="G13" i="8"/>
  <c r="A13" i="8"/>
  <c r="G12" i="8"/>
  <c r="A12" i="8"/>
  <c r="G11" i="8"/>
  <c r="A11" i="8"/>
  <c r="G10" i="8"/>
  <c r="A10" i="8"/>
  <c r="G9" i="8"/>
  <c r="A9" i="8"/>
  <c r="G8" i="8"/>
  <c r="A8" i="8"/>
  <c r="G7" i="8"/>
  <c r="A7" i="8"/>
  <c r="G6" i="8"/>
  <c r="A6" i="8"/>
  <c r="G5" i="8"/>
  <c r="A5" i="8"/>
  <c r="G4" i="8"/>
  <c r="A4" i="8"/>
  <c r="G3" i="8"/>
  <c r="A3" i="8"/>
  <c r="D64" i="7"/>
  <c r="A64" i="7"/>
  <c r="A63" i="7"/>
  <c r="A62" i="7"/>
  <c r="A61" i="7"/>
  <c r="A60" i="7"/>
  <c r="F59" i="7"/>
  <c r="E59" i="7"/>
  <c r="A59" i="7"/>
  <c r="E58" i="7"/>
  <c r="A58" i="7"/>
  <c r="A57" i="7"/>
  <c r="E56" i="7"/>
  <c r="A56" i="7"/>
  <c r="A55" i="7"/>
  <c r="F54" i="7"/>
  <c r="E54" i="7"/>
  <c r="G54" i="7" s="1"/>
  <c r="J54" i="7" s="1"/>
  <c r="A54" i="7"/>
  <c r="E53" i="7"/>
  <c r="F53" i="7" s="1"/>
  <c r="A53" i="7"/>
  <c r="A52" i="7"/>
  <c r="F51" i="7"/>
  <c r="E51" i="7"/>
  <c r="A51" i="7"/>
  <c r="E50" i="7"/>
  <c r="A50" i="7"/>
  <c r="A49" i="7"/>
  <c r="E48" i="7"/>
  <c r="A48" i="7"/>
  <c r="A47" i="7"/>
  <c r="E46" i="7"/>
  <c r="F46" i="7" s="1"/>
  <c r="G46" i="7" s="1"/>
  <c r="J46" i="7" s="1"/>
  <c r="A46" i="7"/>
  <c r="E45" i="7"/>
  <c r="A45" i="7"/>
  <c r="A44" i="7"/>
  <c r="E43" i="7"/>
  <c r="A43" i="7"/>
  <c r="E42" i="7"/>
  <c r="A42" i="7"/>
  <c r="A41" i="7"/>
  <c r="F40" i="7"/>
  <c r="E40" i="7"/>
  <c r="A40" i="7"/>
  <c r="A39" i="7"/>
  <c r="E38" i="7"/>
  <c r="A38" i="7"/>
  <c r="E37" i="7"/>
  <c r="A37" i="7"/>
  <c r="A36" i="7"/>
  <c r="F35" i="7"/>
  <c r="E35" i="7"/>
  <c r="G35" i="7" s="1"/>
  <c r="J35" i="7" s="1"/>
  <c r="A35" i="7"/>
  <c r="E34" i="7"/>
  <c r="A34" i="7"/>
  <c r="A33" i="7"/>
  <c r="E32" i="7"/>
  <c r="F32" i="7" s="1"/>
  <c r="A32" i="7"/>
  <c r="A31" i="7"/>
  <c r="F30" i="7"/>
  <c r="E30" i="7"/>
  <c r="G30" i="7" s="1"/>
  <c r="J30" i="7" s="1"/>
  <c r="A30" i="7"/>
  <c r="E29" i="7"/>
  <c r="A29" i="7"/>
  <c r="A28" i="7"/>
  <c r="E27" i="7"/>
  <c r="A27" i="7"/>
  <c r="E26" i="7"/>
  <c r="A26" i="7"/>
  <c r="A25" i="7"/>
  <c r="F24" i="7"/>
  <c r="E24" i="7"/>
  <c r="A24" i="7"/>
  <c r="A23" i="7"/>
  <c r="E22" i="7"/>
  <c r="A22" i="7"/>
  <c r="E21" i="7"/>
  <c r="A21" i="7"/>
  <c r="A20" i="7"/>
  <c r="F19" i="7"/>
  <c r="G19" i="7" s="1"/>
  <c r="J19" i="7" s="1"/>
  <c r="E19" i="7"/>
  <c r="A19" i="7"/>
  <c r="E18" i="7"/>
  <c r="A18" i="7"/>
  <c r="A17" i="7"/>
  <c r="E16" i="7"/>
  <c r="F16" i="7" s="1"/>
  <c r="A16" i="7"/>
  <c r="A15" i="7"/>
  <c r="F14" i="7"/>
  <c r="G14" i="7" s="1"/>
  <c r="J14" i="7" s="1"/>
  <c r="E14" i="7"/>
  <c r="A14" i="7"/>
  <c r="E13" i="7"/>
  <c r="A13" i="7"/>
  <c r="A12" i="7"/>
  <c r="E11" i="7"/>
  <c r="A11" i="7"/>
  <c r="E10" i="7"/>
  <c r="A10" i="7"/>
  <c r="A9" i="7"/>
  <c r="E8" i="7"/>
  <c r="A8" i="7"/>
  <c r="A7" i="7"/>
  <c r="E6" i="7"/>
  <c r="A6" i="7"/>
  <c r="E5" i="7"/>
  <c r="A5" i="7"/>
  <c r="A4" i="7"/>
  <c r="E3" i="7"/>
  <c r="A3" i="7"/>
  <c r="D17" i="6"/>
  <c r="A17" i="6"/>
  <c r="A16" i="6"/>
  <c r="A15" i="6"/>
  <c r="G14" i="6"/>
  <c r="A14" i="6"/>
  <c r="G13" i="6"/>
  <c r="A13" i="6"/>
  <c r="G12" i="6"/>
  <c r="A12" i="6"/>
  <c r="G11" i="6"/>
  <c r="A11" i="6"/>
  <c r="G10" i="6"/>
  <c r="A10" i="6"/>
  <c r="G9" i="6"/>
  <c r="A9" i="6"/>
  <c r="G8" i="6"/>
  <c r="A8" i="6"/>
  <c r="G7" i="6"/>
  <c r="A7" i="6"/>
  <c r="G6" i="6"/>
  <c r="A6" i="6"/>
  <c r="G5" i="6"/>
  <c r="A5" i="6"/>
  <c r="G4" i="6"/>
  <c r="A4" i="6"/>
  <c r="G3" i="6"/>
  <c r="A3" i="6"/>
  <c r="I8" i="5"/>
  <c r="E8" i="5"/>
  <c r="I7" i="5"/>
  <c r="E7" i="5"/>
  <c r="F7" i="5" s="1"/>
  <c r="I6" i="5"/>
  <c r="I5" i="5"/>
  <c r="F5" i="5"/>
  <c r="G5" i="5" s="1"/>
  <c r="J5" i="5" s="1"/>
  <c r="K5" i="5" s="1"/>
  <c r="E5" i="5"/>
  <c r="E4" i="5"/>
  <c r="I3" i="5"/>
  <c r="J3" i="4"/>
  <c r="G3" i="4"/>
  <c r="H3" i="4" s="1"/>
  <c r="I3" i="4" s="1"/>
  <c r="K3" i="4" s="1"/>
  <c r="F42" i="13" s="1"/>
  <c r="D56" i="3"/>
  <c r="D48" i="3"/>
  <c r="E60" i="7" s="1"/>
  <c r="F60" i="7" s="1"/>
  <c r="D19" i="3"/>
  <c r="B63" i="11" s="1"/>
  <c r="C19" i="3"/>
  <c r="B65" i="12" s="1"/>
  <c r="D3" i="3"/>
  <c r="C28" i="12" s="1"/>
  <c r="F34" i="12" s="1"/>
  <c r="F41" i="12" s="1"/>
  <c r="C3" i="3"/>
  <c r="A3" i="2"/>
  <c r="A2" i="2"/>
  <c r="A3" i="1"/>
  <c r="G89" i="8" l="1"/>
  <c r="F91" i="8" s="1"/>
  <c r="G17" i="6"/>
  <c r="G19" i="6" s="1"/>
  <c r="E63" i="11"/>
  <c r="F63" i="11" s="1"/>
  <c r="F41" i="11"/>
  <c r="F112" i="12"/>
  <c r="F87" i="12"/>
  <c r="G38" i="7"/>
  <c r="J38" i="7" s="1"/>
  <c r="G13" i="7"/>
  <c r="J13" i="7" s="1"/>
  <c r="F13" i="7"/>
  <c r="G23" i="9"/>
  <c r="H29" i="9"/>
  <c r="F6" i="7"/>
  <c r="G6" i="7" s="1"/>
  <c r="J6" i="7" s="1"/>
  <c r="F11" i="7"/>
  <c r="G11" i="7" s="1"/>
  <c r="J11" i="7" s="1"/>
  <c r="G24" i="7"/>
  <c r="J24" i="7" s="1"/>
  <c r="F29" i="7"/>
  <c r="G29" i="7"/>
  <c r="J29" i="7" s="1"/>
  <c r="G50" i="7"/>
  <c r="J50" i="7" s="1"/>
  <c r="G56" i="7"/>
  <c r="J56" i="7" s="1"/>
  <c r="F56" i="7"/>
  <c r="G59" i="7"/>
  <c r="J59" i="7" s="1"/>
  <c r="F4" i="5"/>
  <c r="G4" i="5" s="1"/>
  <c r="J4" i="5" s="1"/>
  <c r="K4" i="5" s="1"/>
  <c r="F21" i="7"/>
  <c r="G21" i="7" s="1"/>
  <c r="J21" i="7" s="1"/>
  <c r="F22" i="7"/>
  <c r="G22" i="7" s="1"/>
  <c r="J22" i="7" s="1"/>
  <c r="F27" i="7"/>
  <c r="G27" i="7" s="1"/>
  <c r="J27" i="7" s="1"/>
  <c r="G40" i="7"/>
  <c r="J40" i="7" s="1"/>
  <c r="F45" i="7"/>
  <c r="G45" i="7" s="1"/>
  <c r="J45" i="7" s="1"/>
  <c r="F48" i="7"/>
  <c r="G48" i="7" s="1"/>
  <c r="J48" i="7" s="1"/>
  <c r="G51" i="7"/>
  <c r="J51" i="7" s="1"/>
  <c r="G32" i="7"/>
  <c r="J32" i="7" s="1"/>
  <c r="F129" i="12"/>
  <c r="F86" i="12"/>
  <c r="F51" i="12"/>
  <c r="F85" i="12"/>
  <c r="F57" i="12"/>
  <c r="F56" i="12"/>
  <c r="F47" i="12"/>
  <c r="F52" i="12"/>
  <c r="G60" i="7"/>
  <c r="J60" i="7" s="1"/>
  <c r="H14" i="9"/>
  <c r="F3" i="7"/>
  <c r="G3" i="7" s="1"/>
  <c r="F8" i="7"/>
  <c r="G8" i="7" s="1"/>
  <c r="J8" i="7" s="1"/>
  <c r="F37" i="7"/>
  <c r="G37" i="7" s="1"/>
  <c r="J37" i="7" s="1"/>
  <c r="E65" i="12"/>
  <c r="F65" i="12"/>
  <c r="G8" i="5"/>
  <c r="J8" i="5" s="1"/>
  <c r="K8" i="5" s="1"/>
  <c r="F38" i="7"/>
  <c r="F43" i="7"/>
  <c r="G43" i="7" s="1"/>
  <c r="J43" i="7" s="1"/>
  <c r="E48" i="12"/>
  <c r="F83" i="12"/>
  <c r="G16" i="7"/>
  <c r="J16" i="7" s="1"/>
  <c r="F8" i="5"/>
  <c r="F5" i="7"/>
  <c r="G5" i="7" s="1"/>
  <c r="J5" i="7" s="1"/>
  <c r="G10" i="7"/>
  <c r="J10" i="7" s="1"/>
  <c r="F46" i="12"/>
  <c r="F48" i="12" s="1"/>
  <c r="F58" i="12" s="1"/>
  <c r="E63" i="12"/>
  <c r="F63" i="12" s="1"/>
  <c r="E99" i="12"/>
  <c r="G7" i="5"/>
  <c r="J7" i="5" s="1"/>
  <c r="K7" i="5" s="1"/>
  <c r="E9" i="7"/>
  <c r="E17" i="7"/>
  <c r="E25" i="7"/>
  <c r="E33" i="7"/>
  <c r="E41" i="7"/>
  <c r="E49" i="7"/>
  <c r="E57" i="7"/>
  <c r="H5" i="9"/>
  <c r="I5" i="9" s="1"/>
  <c r="I10" i="9" s="1"/>
  <c r="H10" i="9"/>
  <c r="B65" i="11"/>
  <c r="E61" i="7"/>
  <c r="E3" i="5"/>
  <c r="E7" i="7"/>
  <c r="F10" i="7"/>
  <c r="E15" i="7"/>
  <c r="F18" i="7"/>
  <c r="G18" i="7" s="1"/>
  <c r="J18" i="7" s="1"/>
  <c r="E23" i="7"/>
  <c r="F26" i="7"/>
  <c r="G26" i="7" s="1"/>
  <c r="J26" i="7" s="1"/>
  <c r="E31" i="7"/>
  <c r="F34" i="7"/>
  <c r="G34" i="7" s="1"/>
  <c r="J34" i="7" s="1"/>
  <c r="E39" i="7"/>
  <c r="F42" i="7"/>
  <c r="G42" i="7" s="1"/>
  <c r="J42" i="7" s="1"/>
  <c r="E47" i="7"/>
  <c r="F50" i="7"/>
  <c r="G53" i="7"/>
  <c r="J53" i="7" s="1"/>
  <c r="E55" i="7"/>
  <c r="F58" i="7"/>
  <c r="G58" i="7" s="1"/>
  <c r="J58" i="7" s="1"/>
  <c r="E6" i="5"/>
  <c r="E4" i="7"/>
  <c r="E64" i="7" s="1"/>
  <c r="E12" i="7"/>
  <c r="E20" i="7"/>
  <c r="E28" i="7"/>
  <c r="E36" i="7"/>
  <c r="E44" i="7"/>
  <c r="E52" i="7"/>
  <c r="J3" i="7" l="1"/>
  <c r="E65" i="11"/>
  <c r="F65" i="11" s="1"/>
  <c r="F72" i="11" s="1"/>
  <c r="F77" i="11" s="1"/>
  <c r="F47" i="7"/>
  <c r="G47" i="7"/>
  <c r="J47" i="7" s="1"/>
  <c r="F72" i="12"/>
  <c r="F77" i="12" s="1"/>
  <c r="F44" i="7"/>
  <c r="G44" i="7"/>
  <c r="J44" i="7" s="1"/>
  <c r="H34" i="9"/>
  <c r="I29" i="9"/>
  <c r="I34" i="9" s="1"/>
  <c r="F111" i="12" s="1"/>
  <c r="F115" i="12" s="1"/>
  <c r="F133" i="12" s="1"/>
  <c r="F23" i="7"/>
  <c r="G23" i="7"/>
  <c r="J23" i="7" s="1"/>
  <c r="F57" i="7"/>
  <c r="G57" i="7" s="1"/>
  <c r="J57" i="7" s="1"/>
  <c r="F12" i="7"/>
  <c r="G12" i="7" s="1"/>
  <c r="J12" i="7" s="1"/>
  <c r="G49" i="7"/>
  <c r="J49" i="7" s="1"/>
  <c r="F49" i="7"/>
  <c r="F4" i="7"/>
  <c r="G4" i="7"/>
  <c r="J4" i="7" s="1"/>
  <c r="F39" i="7"/>
  <c r="G39" i="7"/>
  <c r="J39" i="7" s="1"/>
  <c r="F7" i="7"/>
  <c r="G7" i="7" s="1"/>
  <c r="F41" i="7"/>
  <c r="G41" i="7" s="1"/>
  <c r="J41" i="7" s="1"/>
  <c r="F55" i="12"/>
  <c r="F84" i="12"/>
  <c r="F75" i="12"/>
  <c r="F53" i="12"/>
  <c r="F59" i="12" s="1"/>
  <c r="F76" i="12" s="1"/>
  <c r="F54" i="12"/>
  <c r="F47" i="11"/>
  <c r="F129" i="11"/>
  <c r="F46" i="11"/>
  <c r="F48" i="11" s="1"/>
  <c r="F75" i="11" s="1"/>
  <c r="F55" i="7"/>
  <c r="G55" i="7" s="1"/>
  <c r="J55" i="7" s="1"/>
  <c r="F36" i="7"/>
  <c r="G36" i="7" s="1"/>
  <c r="J36" i="7" s="1"/>
  <c r="I14" i="9"/>
  <c r="I19" i="9" s="1"/>
  <c r="I23" i="9" s="1"/>
  <c r="H19" i="9"/>
  <c r="H23" i="9" s="1"/>
  <c r="F20" i="7"/>
  <c r="G20" i="7"/>
  <c r="J20" i="7" s="1"/>
  <c r="G17" i="7"/>
  <c r="J17" i="7" s="1"/>
  <c r="F17" i="7"/>
  <c r="F9" i="7"/>
  <c r="G9" i="7"/>
  <c r="J9" i="7" s="1"/>
  <c r="F28" i="7"/>
  <c r="G28" i="7"/>
  <c r="J28" i="7" s="1"/>
  <c r="F15" i="7"/>
  <c r="G15" i="7" s="1"/>
  <c r="J15" i="7" s="1"/>
  <c r="F6" i="5"/>
  <c r="G6" i="5" s="1"/>
  <c r="J6" i="5" s="1"/>
  <c r="K6" i="5" s="1"/>
  <c r="F3" i="5"/>
  <c r="G3" i="5" s="1"/>
  <c r="J3" i="5" s="1"/>
  <c r="F33" i="7"/>
  <c r="G33" i="7" s="1"/>
  <c r="J33" i="7" s="1"/>
  <c r="F52" i="7"/>
  <c r="G52" i="7" s="1"/>
  <c r="J52" i="7" s="1"/>
  <c r="F31" i="7"/>
  <c r="G31" i="7"/>
  <c r="J31" i="7" s="1"/>
  <c r="F61" i="7"/>
  <c r="G61" i="7"/>
  <c r="J61" i="7" s="1"/>
  <c r="G25" i="7"/>
  <c r="J25" i="7" s="1"/>
  <c r="F25" i="7"/>
  <c r="F82" i="12"/>
  <c r="F87" i="11" l="1"/>
  <c r="J10" i="5"/>
  <c r="K3" i="5"/>
  <c r="K10" i="5" s="1"/>
  <c r="J7" i="7"/>
  <c r="G64" i="7"/>
  <c r="F58" i="11"/>
  <c r="F55" i="11"/>
  <c r="F57" i="11"/>
  <c r="F78" i="12"/>
  <c r="F54" i="11"/>
  <c r="F56" i="11"/>
  <c r="F64" i="7"/>
  <c r="F53" i="11"/>
  <c r="J64" i="7"/>
  <c r="F82" i="11"/>
  <c r="F84" i="11"/>
  <c r="F85" i="11"/>
  <c r="F52" i="11"/>
  <c r="F88" i="12"/>
  <c r="F131" i="12" s="1"/>
  <c r="F86" i="11"/>
  <c r="F51" i="11"/>
  <c r="F83" i="11"/>
  <c r="F59" i="11" l="1"/>
  <c r="F76" i="11" s="1"/>
  <c r="F78" i="11" s="1"/>
  <c r="F130" i="12"/>
  <c r="F93" i="12"/>
  <c r="F98" i="12"/>
  <c r="F97" i="12"/>
  <c r="F94" i="12"/>
  <c r="F96" i="12"/>
  <c r="F95" i="12"/>
  <c r="F88" i="11"/>
  <c r="F131" i="11" s="1"/>
  <c r="J67" i="7"/>
  <c r="F99" i="12" l="1"/>
  <c r="F105" i="12" s="1"/>
  <c r="F107" i="12" s="1"/>
  <c r="F132" i="12" s="1"/>
  <c r="F134" i="12"/>
  <c r="F130" i="11"/>
  <c r="F97" i="11"/>
  <c r="F93" i="11"/>
  <c r="F94" i="11"/>
  <c r="F96" i="11"/>
  <c r="F95" i="11"/>
  <c r="F98" i="11"/>
  <c r="F99" i="11" l="1"/>
  <c r="F105" i="11" s="1"/>
  <c r="F107" i="11" s="1"/>
  <c r="F132" i="11" s="1"/>
  <c r="F134" i="11" s="1"/>
  <c r="F119" i="12"/>
  <c r="F120" i="12" s="1"/>
  <c r="F124" i="12" l="1"/>
  <c r="F122" i="12"/>
  <c r="F123" i="12"/>
  <c r="F125" i="12" s="1"/>
  <c r="F135" i="12" s="1"/>
  <c r="F136" i="12" s="1"/>
  <c r="B140" i="12" s="1"/>
  <c r="F119" i="11"/>
  <c r="C37" i="13" l="1"/>
  <c r="E37" i="13" s="1"/>
  <c r="F37" i="13" s="1"/>
  <c r="E140" i="12"/>
  <c r="F140" i="12" s="1"/>
  <c r="F120" i="11"/>
  <c r="F122" i="11" l="1"/>
  <c r="F123" i="11"/>
  <c r="F124" i="11"/>
  <c r="F125" i="11" l="1"/>
  <c r="F135" i="11" s="1"/>
  <c r="F136" i="11" s="1"/>
  <c r="C36" i="13" s="1"/>
  <c r="B140" i="11" l="1"/>
  <c r="E140" i="11" s="1"/>
  <c r="F140" i="11" s="1"/>
  <c r="E36" i="13"/>
  <c r="E38" i="13" l="1"/>
  <c r="F36" i="13"/>
  <c r="F38"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A00-000004000000}">
      <text>
        <r>
          <rPr>
            <sz val="10"/>
            <rFont val="Arial"/>
            <family val="2"/>
          </rPr>
          <t xml:space="preserve">Base de cálculo do salário-base contido na:
- Convenção Coletiva de Trabalho 2025/2026
- Anexo I
- Item 14
Registrada no MTE sob o número: PA000133/2025
Referencial Técnico de Custos – AUDIN/MPU – 4ª Edição
MÓDULO 1 – COMPOSIÇÃO DA REMUNERAÇÃO
Alínea 1.A. - Salário Base
</t>
        </r>
      </text>
    </comment>
    <comment ref="F35" authorId="0" shapeId="0" xr:uid="{00000000-0006-0000-0A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A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A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A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A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A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A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A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A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A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A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A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0A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A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A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A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A00-000015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A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A00-000017000000}">
      <text>
        <r>
          <rPr>
            <sz val="10"/>
            <rFont val="Arial"/>
            <family val="2"/>
          </rPr>
          <t xml:space="preserve">Cláusula 47ª, caput, da CCT 2024/2025. 
</t>
        </r>
      </text>
    </comment>
    <comment ref="F82" authorId="0" shapeId="0" xr:uid="{00000000-0006-0000-0A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A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A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A00-000002000000}">
      <text>
        <r>
          <rPr>
            <sz val="10"/>
            <rFont val="Arial"/>
            <family val="2"/>
          </rPr>
          <t xml:space="preserve">[(56,24%) x 94,45% x (7/30) /12] x 100 = 1,03%
</t>
        </r>
      </text>
    </comment>
    <comment ref="F85" authorId="0" shapeId="0" xr:uid="{00000000-0006-0000-0A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A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A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A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A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0A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rgb="FF000000"/>
            <rFont val="Segoe UI"/>
            <family val="2"/>
            <charset val="1"/>
          </rPr>
          <t xml:space="preserve">
</t>
        </r>
      </text>
    </comment>
    <comment ref="F95" authorId="0" shapeId="0" xr:uid="{00000000-0006-0000-0A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rgb="FF000000"/>
            <rFont val="Segoe UI"/>
            <family val="2"/>
            <charset val="1"/>
          </rPr>
          <t xml:space="preserve">
</t>
        </r>
      </text>
    </comment>
    <comment ref="F96" authorId="0" shapeId="0" xr:uid="{00000000-0006-0000-0A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rgb="FF000000"/>
            <rFont val="Segoe UI"/>
            <family val="2"/>
            <charset val="1"/>
          </rPr>
          <t xml:space="preserve">
</t>
        </r>
      </text>
    </comment>
    <comment ref="F97" authorId="0" shapeId="0" xr:uid="{00000000-0006-0000-0A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rgb="FF000000"/>
            <rFont val="Segoe UI"/>
            <family val="2"/>
            <charset val="1"/>
          </rPr>
          <t xml:space="preserve">
</t>
        </r>
      </text>
    </comment>
    <comment ref="F98" authorId="0" shapeId="0" xr:uid="{00000000-0006-0000-0A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0A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A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A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0A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r>
          <rPr>
            <sz val="9"/>
            <color rgb="FF000000"/>
            <rFont val="Segoe UI"/>
            <family val="2"/>
            <charset val="1"/>
          </rPr>
          <t xml:space="preserve">
</t>
        </r>
        <r>
          <rPr>
            <b/>
            <sz val="9"/>
            <color rgb="FF000000"/>
            <rFont val="Segoe UI"/>
            <family val="2"/>
            <charset val="1"/>
          </rPr>
          <t>Vide subplanilha Material Permanente - MP.</t>
        </r>
      </text>
    </comment>
    <comment ref="A117" authorId="0" shapeId="0" xr:uid="{00000000-0006-0000-0A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A00-000028000000}">
      <text>
        <r>
          <rPr>
            <sz val="10"/>
            <rFont val="Arial"/>
            <family val="2"/>
          </rPr>
          <t xml:space="preserve">Base de Cálculo dos Custos Indiretos:
- Referencial Técnico de Custos – Audin-MPU – 4ª Edição:
- MÓDULO 6 – CUSTOS INDIRETOS, TRIBUTOS E LUCRO:
Percentuais
- 4,73% 
- Fórmula: [(Módulo 1 + Módulo 2 + Módulo 3 + Módulo 4 + Módulo 5) x Custos Indiretos %]
</t>
        </r>
      </text>
    </comment>
    <comment ref="F120" authorId="0" shapeId="0" xr:uid="{00000000-0006-0000-0A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A00-00002A000000}">
      <text>
        <r>
          <rPr>
            <sz val="10"/>
            <rFont val="Arial"/>
            <family val="2"/>
          </rPr>
          <t xml:space="preserve">-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A00-00002B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A00-00002C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B00-000003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B00-000007000000}">
      <text>
        <r>
          <rPr>
            <sz val="10"/>
            <rFont val="Arial"/>
            <family val="2"/>
          </rPr>
          <t>Base de cálculo do salário-base contido na:
- Convenção Coletiva de Trabalho 2025/2026
- Anexo I
- Item 22
Registrada no MTE sob o número: PA000133/2025
Referencial Técnico de Custos – AUDIN/MPU – 4ª Edição
MÓDULO 1 – COMPOSIÇÃO DA REMUNERAÇÃO
Alínea 1.A. - Salário Base
Posto com dois serviços agregados: Serviços de Limpeza e Conservação + Copeiragem, sendo o principal de limpeza e conservação</t>
        </r>
      </text>
    </comment>
    <comment ref="F35" authorId="0" shapeId="0" xr:uid="{00000000-0006-0000-0B00-000008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B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B00-00000A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B00-00000B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B00-00000C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B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B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B00-00000F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B00-000010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B00-000011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B00-000012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B00-000013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B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B00-000014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B00-000015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B00-000016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B00-000017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B00-000018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B00-000019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B00-00001A000000}">
      <text>
        <r>
          <rPr>
            <sz val="10"/>
            <rFont val="Arial"/>
            <family val="2"/>
          </rPr>
          <t xml:space="preserve">Cláusula 47ª, caput, da CCT 2024/2025. 
</t>
        </r>
      </text>
    </comment>
    <comment ref="A80" authorId="0" shapeId="0" xr:uid="{00000000-0006-0000-0B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0B00-00001B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B00-00001C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B00-00001D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B00-000005000000}">
      <text>
        <r>
          <rPr>
            <sz val="10"/>
            <rFont val="Arial"/>
            <family val="2"/>
          </rPr>
          <t xml:space="preserve">[(56,24%) x 94,45% x (7/30) /12] x 100 = 1,03%
</t>
        </r>
      </text>
    </comment>
    <comment ref="F85" authorId="0" shapeId="0" xr:uid="{00000000-0006-0000-0B00-00001E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B00-00001F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B00-000020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B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B00-000021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B00-000022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B00-000023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B00-000024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B00-000025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B00-000026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B00-000027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B00-000028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B00-000029000000}">
      <text>
        <r>
          <rPr>
            <sz val="10"/>
            <rFont val="Arial"/>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0" shapeId="0" xr:uid="{00000000-0006-0000-0B00-00002A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t>
        </r>
        <r>
          <rPr>
            <sz val="10"/>
            <rFont val="Arial"/>
            <family val="2"/>
            <charset val="1"/>
          </rPr>
          <t xml:space="preserve">
</t>
        </r>
      </text>
    </comment>
    <comment ref="F114" authorId="0" shapeId="0" xr:uid="{00000000-0006-0000-0B00-00002B000000}">
      <text>
        <r>
          <rPr>
            <sz val="10"/>
            <rFont val="Arial"/>
            <family val="2"/>
          </rPr>
          <t xml:space="preserve">Vide subplanilha Equipamento e Proteção Individual - EPI's - LC
</t>
        </r>
        <r>
          <rPr>
            <sz val="9"/>
            <color rgb="FF000000"/>
            <rFont val="Segoe UI"/>
            <family val="2"/>
            <charset val="1"/>
          </rPr>
          <t xml:space="preserve">
</t>
        </r>
      </text>
    </comment>
    <comment ref="A117" authorId="0" shapeId="0" xr:uid="{00000000-0006-0000-0B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B00-00002C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B00-00002D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B00-00002E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B00-00002F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B00-000030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<sst xmlns="http://schemas.openxmlformats.org/spreadsheetml/2006/main" count="1131" uniqueCount="536">
  <si>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</si>
  <si>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</si>
  <si>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</si>
  <si>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</si>
  <si>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</si>
  <si>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</si>
  <si>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</si>
  <si>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</si>
  <si>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</si>
  <si>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</si>
  <si>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</si>
  <si>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</si>
  <si>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</si>
  <si>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</si>
  <si>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</si>
  <si>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</si>
  <si>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</si>
  <si>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</si>
  <si>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</si>
  <si>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</si>
  <si>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</si>
  <si>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</si>
  <si>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EPIs – LC</t>
  </si>
  <si>
    <t>EPIs - Limpeza e Conservação</t>
  </si>
  <si>
    <t>AAII</t>
  </si>
  <si>
    <t>Auxiliar Administrativo II</t>
  </si>
  <si>
    <t>SL</t>
  </si>
  <si>
    <t>Servente de Limpeza</t>
  </si>
  <si>
    <t>POSTOS</t>
  </si>
  <si>
    <t>Limpeza e Conservação</t>
  </si>
  <si>
    <t>CONVENÇÃO COLETIVA / SALÁRIO NORMATIVO VIGENTE PARA CONTRATAÇÃO E/OU REPACTUAÇÃO DE PREÇOS</t>
  </si>
  <si>
    <t>Postos</t>
  </si>
  <si>
    <t>Convenção Coletiva</t>
  </si>
  <si>
    <t>2025/2026</t>
  </si>
  <si>
    <t>2026/2027</t>
  </si>
  <si>
    <t>2027/2028</t>
  </si>
  <si>
    <t>2028/2029</t>
  </si>
  <si>
    <t>2029/2030</t>
  </si>
  <si>
    <t>2030/2031</t>
  </si>
  <si>
    <t>2031/2032</t>
  </si>
  <si>
    <t>2032/2033</t>
  </si>
  <si>
    <t>2033/2034</t>
  </si>
  <si>
    <t>2034/2035</t>
  </si>
  <si>
    <t>PERÍODO</t>
  </si>
  <si>
    <t>VALE-ALIMENTAÇÃO</t>
  </si>
  <si>
    <t>VALE-TRANSPORTE</t>
  </si>
  <si>
    <t>Contratação</t>
  </si>
  <si>
    <t>Alteração</t>
  </si>
  <si>
    <t>QUANTIDADE DE DIAS</t>
  </si>
  <si>
    <t>TODOS OS POSTOS</t>
  </si>
  <si>
    <t>Lucro e Despesas Indiretas - LDI</t>
  </si>
  <si>
    <t>Custos Indiretos</t>
  </si>
  <si>
    <t xml:space="preserve">Lucro </t>
  </si>
  <si>
    <t>Total</t>
  </si>
  <si>
    <t>Tributação Sobre Faturamento - T - Lucro Presumido</t>
  </si>
  <si>
    <t>PIS</t>
  </si>
  <si>
    <t>COFIN</t>
  </si>
  <si>
    <t>ISS</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</si>
  <si>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</si>
  <si>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</si>
  <si>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</si>
  <si>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</si>
  <si>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</si>
  <si>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</si>
  <si>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</si>
  <si>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</si>
  <si>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</si>
  <si>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</si>
  <si>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</si>
  <si>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</si>
  <si>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</si>
  <si>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</si>
  <si>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</si>
  <si>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</si>
  <si>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</si>
  <si>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</si>
  <si>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</si>
  <si>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</si>
  <si>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</si>
  <si>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</si>
  <si>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</si>
  <si>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</si>
  <si>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</si>
  <si>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</si>
  <si>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</si>
  <si>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</si>
  <si>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</si>
  <si>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</si>
  <si>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COPA E COZINHA – 3.3.90.30.21 – SOB DEMANDA</t>
  </si>
  <si>
    <t>Objeto</t>
  </si>
  <si>
    <t>Valor Unitário</t>
  </si>
  <si>
    <t>Não se aplica</t>
  </si>
  <si>
    <t>Detergente Desengordurante Multiuso</t>
  </si>
  <si>
    <t>Frasco de 500 ml</t>
  </si>
  <si>
    <t>Detergente Líquido para Lavar Louças</t>
  </si>
  <si>
    <t>Esponja para limpeza/lavar louças</t>
  </si>
  <si>
    <t>Unidade</t>
  </si>
  <si>
    <t>Limpa alumínio</t>
  </si>
  <si>
    <t>Palha/lã de aço</t>
  </si>
  <si>
    <t>Pacote com 08 unidades</t>
  </si>
  <si>
    <t>Pano de chão</t>
  </si>
  <si>
    <t>Pano de prato</t>
  </si>
  <si>
    <t>Saco para Acondicionamento de Lixo – 30 litros</t>
  </si>
  <si>
    <t xml:space="preserve"> Pacote com 10 sacos</t>
  </si>
  <si>
    <t xml:space="preserve">Saco para Acondicionamento de Lixo – 100 litros </t>
  </si>
  <si>
    <t xml:space="preserve">Papel para Cozinha </t>
  </si>
  <si>
    <t>Pacote com 02 rolos</t>
  </si>
  <si>
    <t>Papel toalha</t>
  </si>
  <si>
    <t xml:space="preserve"> Fardo de 1000 folhas divido em pacote de 250 folhas</t>
  </si>
  <si>
    <t>Sabão em pó</t>
  </si>
  <si>
    <t xml:space="preserve"> Pacote de 500 gramas</t>
  </si>
  <si>
    <t>Valor Mensal Aproximado</t>
  </si>
  <si>
    <t>Não se Aplica</t>
  </si>
  <si>
    <t>Valor Total Estimado Anual</t>
  </si>
  <si>
    <t>Açucareiro com Colher - Inox</t>
  </si>
  <si>
    <t>x</t>
  </si>
  <si>
    <t>Adaptador Para Garrafa Térmica (Funil Plástico)</t>
  </si>
  <si>
    <t>Bandeja em Aço Inox (30 cm) - Inox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</si>
  <si>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</si>
  <si>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</si>
  <si>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</si>
  <si>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</si>
  <si>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</si>
  <si>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</si>
  <si>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</si>
  <si>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</si>
  <si>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</si>
  <si>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</si>
  <si>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</si>
  <si>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</si>
  <si>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</si>
  <si>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</si>
  <si>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</si>
  <si>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Pacote</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</si>
  <si>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</si>
  <si>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</si>
  <si>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</si>
  <si>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</si>
  <si>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</si>
  <si>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</si>
  <si>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</si>
  <si>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</si>
  <si>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</si>
  <si>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</si>
  <si>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</si>
  <si>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</si>
  <si>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</si>
  <si>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</si>
  <si>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</si>
  <si>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</si>
  <si>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</si>
  <si>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</si>
  <si>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</si>
  <si>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</si>
  <si>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</si>
  <si>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</si>
  <si>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</si>
  <si>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</si>
  <si>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</si>
  <si>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</si>
  <si>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</si>
  <si>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</si>
  <si>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</si>
  <si>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</si>
  <si>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</si>
  <si>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</si>
  <si>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</si>
  <si>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</si>
  <si>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</si>
  <si>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</si>
  <si>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</si>
  <si>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</si>
  <si>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</si>
  <si>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</si>
  <si>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</si>
  <si>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</si>
  <si>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</si>
  <si>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</si>
  <si>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MATERIAL DE LIMPEZA E PRODUTOS DE HIGINIZAÇÃO – 3.3.90.30.22 – ÔNUSA DA CONTRATADA</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</si>
  <si>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</si>
  <si>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</si>
  <si>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</si>
  <si>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</si>
  <si>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</si>
  <si>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</si>
  <si>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</si>
  <si>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</si>
  <si>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</si>
  <si>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</si>
  <si>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</si>
  <si>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</si>
  <si>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</si>
  <si>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</si>
  <si>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</si>
  <si>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</si>
  <si>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</si>
  <si>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</si>
  <si>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</si>
  <si>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</si>
  <si>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</si>
  <si>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</si>
  <si>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</si>
  <si>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</si>
  <si>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</si>
  <si>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</si>
  <si>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</si>
  <si>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</si>
  <si>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</si>
  <si>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</si>
  <si>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</si>
  <si>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</si>
  <si>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</si>
  <si>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</si>
  <si>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</si>
  <si>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</si>
  <si>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</si>
  <si>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</si>
  <si>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</si>
  <si>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</si>
  <si>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</si>
  <si>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</si>
  <si>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</si>
  <si>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</si>
  <si>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</si>
  <si>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</si>
  <si>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</si>
  <si>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</si>
  <si>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</si>
  <si>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</si>
  <si>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</si>
  <si>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</si>
  <si>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</si>
  <si>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</si>
  <si>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</si>
  <si>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</si>
  <si>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</si>
  <si>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</si>
  <si>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</si>
  <si>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</si>
  <si>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</si>
  <si>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 xml:space="preserve">Papel higiênico - rolo - 300 metros </t>
  </si>
  <si>
    <t>Fardo com 12 unidades</t>
  </si>
  <si>
    <t>Papel higiênico</t>
  </si>
  <si>
    <t>Papel toalha interfoliado</t>
  </si>
  <si>
    <t>Fardo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</si>
  <si>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</si>
  <si>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</si>
  <si>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</si>
  <si>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</si>
  <si>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</si>
  <si>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</si>
  <si>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</si>
  <si>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</si>
  <si>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</si>
  <si>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</si>
  <si>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</si>
  <si>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</si>
  <si>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Rodo para piso</t>
  </si>
  <si>
    <t>Refil MOP giratório</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</si>
  <si>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</si>
  <si>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</si>
  <si>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</si>
  <si>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</si>
  <si>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</si>
  <si>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</si>
  <si>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</si>
  <si>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</si>
  <si>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</si>
  <si>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</si>
  <si>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</si>
  <si>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</si>
  <si>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</si>
  <si>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</si>
  <si>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</si>
  <si>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</si>
  <si>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</si>
  <si>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</si>
  <si>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</si>
  <si>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</si>
  <si>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UNIFORMES, TECIDOS E AVIAMENTOS – 3.3.90.30.23</t>
  </si>
  <si>
    <t>Auxiliar Administrativo II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</si>
  <si>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</si>
  <si>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</si>
  <si>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</si>
  <si>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</si>
  <si>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</si>
  <si>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</si>
  <si>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</si>
  <si>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</si>
  <si>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</si>
  <si>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</si>
  <si>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</si>
  <si>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</si>
  <si>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Cintos social de 01 (uma) face da cor dos sapatos, em couro natural ou sintético;</t>
  </si>
  <si>
    <t>Jaqueta de moletom na cor preta ou azul marinho;</t>
  </si>
  <si>
    <t>Auxiliar Administrativo II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</si>
  <si>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</si>
  <si>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</si>
  <si>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</si>
  <si>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</si>
  <si>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</si>
  <si>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II - Masculino e Feminino</t>
  </si>
  <si>
    <t>Todos</t>
  </si>
  <si>
    <t>Todos os itens acima</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</si>
  <si>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</si>
  <si>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</si>
  <si>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</si>
  <si>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</si>
  <si>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</si>
  <si>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</si>
  <si>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EQUIPAMENTOS DE PROTEÇÃO E SEGURANÇA DE SERVENTES DE LIMPEZA E CONSERVAÇÃO - ENCARGO DA CONTRATADA</t>
  </si>
  <si>
    <t>Descrição dos Materiais</t>
  </si>
  <si>
    <t>Máscara de Proteção</t>
  </si>
  <si>
    <t>Óculos de Proteção</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</si>
  <si>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</si>
  <si>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</si>
  <si>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</si>
  <si>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</si>
  <si>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</si>
  <si>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</si>
  <si>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</si>
  <si>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</si>
  <si>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</si>
  <si>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Tucuruí</t>
  </si>
  <si>
    <t>Ano Acordo, Convenção ou Sentença Normativa em Dissídio Coletivo</t>
  </si>
  <si>
    <r>
      <rPr>
        <b/>
        <sz val="8"/>
        <color rgb="FF000000"/>
        <rFont val="Times New Roman"/>
        <family val="1"/>
        <charset val="1"/>
      </rPr>
      <t xml:space="preserve">CONVENÇÃO COLETIVA DE TRABALHO:  </t>
    </r>
    <r>
      <rPr>
        <b/>
        <sz val="8"/>
        <color rgb="FF00B0F0"/>
        <rFont val="Times New Roman"/>
        <family val="1"/>
        <charset val="1"/>
      </rPr>
      <t>2025/2026</t>
    </r>
  </si>
  <si>
    <r>
      <rPr>
        <b/>
        <sz val="8"/>
        <color rgb="FF000000"/>
        <rFont val="Times New Roman"/>
        <family val="1"/>
        <charset val="1"/>
      </rPr>
      <t xml:space="preserve">NÚMERO DE REGISTRO NO MTE:  </t>
    </r>
    <r>
      <rPr>
        <b/>
        <sz val="8"/>
        <color rgb="FF00B0F0"/>
        <rFont val="Times New Roman"/>
        <family val="1"/>
        <charset val="1"/>
      </rPr>
      <t>PA000133/2025</t>
    </r>
  </si>
  <si>
    <r>
      <rPr>
        <b/>
        <sz val="8"/>
        <color rgb="FF000000"/>
        <rFont val="Times New Roman"/>
        <family val="1"/>
        <charset val="1"/>
      </rPr>
      <t xml:space="preserve">DATA DE REGISTRO NO MTE:  </t>
    </r>
    <r>
      <rPr>
        <b/>
        <sz val="8"/>
        <color rgb="FF00B0F0"/>
        <rFont val="Times New Roman"/>
        <family val="1"/>
        <charset val="1"/>
      </rPr>
      <t>06/03/2025</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</si>
  <si>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</si>
  <si>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</si>
  <si>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</si>
  <si>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</si>
  <si>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</si>
  <si>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</si>
  <si>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</si>
  <si>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</si>
  <si>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</si>
  <si>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</si>
  <si>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</si>
  <si>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</si>
  <si>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</si>
  <si>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</si>
  <si>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1º/01/2025</t>
  </si>
  <si>
    <t>PLANILHA DE CUSTOS E FORMAÇÃO DE PREÇOS</t>
  </si>
  <si>
    <t>1 – DA COMPOSIÇÃO DA REMUNERAÇÃO</t>
  </si>
  <si>
    <t>Discriminação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</si>
  <si>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</si>
  <si>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</si>
  <si>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</si>
  <si>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</si>
  <si>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</si>
  <si>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</si>
  <si>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</si>
  <si>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</si>
  <si>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</si>
  <si>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</si>
  <si>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</si>
  <si>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</si>
  <si>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</si>
  <si>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</si>
  <si>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</si>
  <si>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</si>
  <si>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</si>
  <si>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</si>
  <si>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</si>
  <si>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</si>
  <si>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</si>
  <si>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</si>
  <si>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</si>
  <si>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</si>
  <si>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</si>
  <si>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</si>
  <si>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</si>
  <si>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</si>
  <si>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</si>
  <si>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</si>
  <si>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</si>
  <si>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</si>
  <si>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</si>
  <si>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</si>
  <si>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</si>
  <si>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</si>
  <si>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</si>
  <si>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</si>
  <si>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</si>
  <si>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</si>
  <si>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</si>
  <si>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</si>
  <si>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</si>
  <si>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</si>
  <si>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</si>
  <si>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</si>
  <si>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</si>
  <si>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</si>
  <si>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</si>
  <si>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</si>
  <si>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</si>
  <si>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</si>
  <si>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</si>
  <si>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</si>
  <si>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</si>
  <si>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</si>
  <si>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</si>
  <si>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</si>
  <si>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</si>
  <si>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</si>
  <si>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</si>
  <si>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</si>
  <si>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</si>
  <si>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</si>
  <si>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</si>
  <si>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</si>
  <si>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</si>
  <si>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</si>
  <si>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</si>
  <si>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</si>
  <si>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</si>
  <si>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</si>
  <si>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</si>
  <si>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</si>
  <si>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</si>
  <si>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</si>
  <si>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</si>
  <si>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</si>
  <si>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</si>
  <si>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</si>
  <si>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</si>
  <si>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</si>
  <si>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</si>
  <si>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</si>
  <si>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</si>
  <si>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</si>
  <si>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 - Depreciação de Material Permanente não reversível ao patrimônio Público</t>
  </si>
  <si>
    <t>Outros - Equipamaento de Proteção e Segurança - EPI</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</si>
  <si>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</si>
  <si>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</si>
  <si>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</si>
  <si>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</si>
  <si>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</si>
  <si>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</si>
  <si>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</si>
  <si>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</si>
  <si>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</si>
  <si>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</si>
  <si>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</si>
  <si>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</si>
  <si>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</si>
  <si>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</si>
  <si>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</si>
  <si>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</si>
  <si>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</si>
  <si>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</si>
  <si>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</si>
  <si>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</si>
  <si>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</si>
  <si>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Postos</t>
  </si>
  <si>
    <t>Quantidade de meses</t>
  </si>
  <si>
    <t>Valor total mensal</t>
  </si>
  <si>
    <t>Serventes de Limpeza e Conservação</t>
  </si>
  <si>
    <t>5143-20 - Serviços de Limpeza e Conservação</t>
  </si>
  <si>
    <t> Submódulo 2.1 - 13º Salário e Adicional de Férias</t>
  </si>
  <si>
    <t>Incidência dos encargos do submódulo 2.2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</si>
  <si>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</si>
  <si>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</si>
  <si>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</si>
  <si>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</si>
  <si>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</si>
  <si>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</si>
  <si>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</si>
  <si>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</si>
  <si>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</si>
  <si>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</si>
  <si>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</si>
  <si>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</si>
  <si>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</si>
  <si>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</si>
  <si>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</si>
  <si>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</si>
  <si>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</si>
  <si>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</si>
  <si>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</si>
  <si>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</si>
  <si>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</si>
  <si>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</si>
  <si>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</si>
  <si>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</si>
  <si>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</si>
  <si>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</si>
  <si>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</si>
  <si>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</si>
  <si>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</si>
  <si>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</si>
  <si>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</si>
  <si>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</si>
  <si>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</si>
  <si>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</si>
  <si>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</si>
  <si>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</si>
  <si>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</si>
  <si>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</si>
  <si>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</si>
  <si>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</si>
  <si>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</si>
  <si>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</si>
  <si>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</si>
  <si>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</si>
  <si>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</si>
  <si>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</si>
  <si>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</si>
  <si>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</si>
  <si>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Valor Mensal por Posto</t>
  </si>
  <si>
    <t>Valor Anual por Posto</t>
  </si>
  <si>
    <t>AUXILIAR ADMINISTRATIVO II</t>
  </si>
  <si>
    <t>SERVENTE DE LIMPEZA</t>
  </si>
  <si>
    <t>TOTAL ITEM I</t>
  </si>
  <si>
    <t>II - Do Preço Global dsa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</si>
  <si>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</si>
  <si>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</si>
  <si>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</si>
  <si>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</si>
  <si>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</si>
  <si>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de Materiais de Copa e Cozinha - Sob Demanda</t>
  </si>
  <si>
    <t>Materiais de Copa e Cozinha: Xícara, copo, guardanapo, colher, outros</t>
  </si>
  <si>
    <t>PREÇO TOTAL DA PROPOSTA</t>
  </si>
  <si>
    <t>Valor Total dos Itens I + II + III + IV + V</t>
  </si>
  <si>
    <t>VALOR TOTAL</t>
  </si>
  <si>
    <t>O CABEÇALHO ENCONTRA-SE DESBLOQUEADO PARA POSSIBILITAR IDENTIFICAÇÃO/PERSONALIZAÇÃO PELO LICITANTE.</t>
  </si>
  <si>
    <t xml:space="preserve">O LICITANTE DEVE INFORMAR QUAL ACORDO, CONVENÇÃO COLETIVA OU SENTENÇA NORMATIVA QUE BASEIA SUA PROPOSTA DE PREÇOS, INDICANDO OS SINDICATOS. </t>
  </si>
  <si>
    <t>A PROPOSTA DA LICITANTE DEVE ATENDER TODAS AS CONDIÇÕES EXIGIDAS NO EDITAL, CONFORME MODELO DESTA PLANILHA.</t>
  </si>
  <si>
    <t>ANEXO II – MODELO DE PROPOSTA E PLANILHA DE CUSTOS E FORMAÇÃO DO VALOR ESTIMADO</t>
  </si>
  <si>
    <t>PREGÃO ELETRÔNICO Nº 90002/2025 – UASG 200075</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</si>
  <si>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</si>
  <si>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PARA O LICITANTE COMPOR A SUA PLANILHA, BASTA PREENCHER AS CÉLULAS AMARELAS. DESSA FORMA, AS ABAS DA PLANILHA SÃO ATUALIZADAS AUTOMATICAMENTE.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</si>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</sst>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
    <numFmt numFmtId="165" formatCode="&quot;R$ &quot;#,##0.00;[Red]&quot;-R$ &quot;#,##0.00"/>
    <numFmt numFmtId="166" formatCode="[$R$-416]\ #,##0.00;[Red]\-[$R$-416]\ #,##0.00"/>
    <numFmt numFmtId="167" formatCode="#,##0.00\ ;\-#,##0.00\ "/>
  </numFmts>
  <fonts count="24" x14ac:knownFonts="1">
    <font>
      <sz val="11"/>
      <color theme="1"/>
      <name val="Aptos Narrow"/>
      <family val="2"/>
      <charset val="1"/>
    </font>
    <font>
      <u/>
      <sz val="11"/>
      <color theme="10"/>
      <name val="Aptos Narrow"/>
      <family val="2"/>
      <charset val="1"/>
    </font>
    <font>
      <b/>
      <sz val="8"/>
      <color theme="1"/>
      <name val="Times New Roman"/>
      <family val="1"/>
      <charset val="1"/>
    </font>
    <font>
      <sz val="8"/>
      <color theme="1"/>
      <name val="Times New Roman"/>
      <family val="1"/>
      <charset val="1"/>
    </font>
    <font>
      <b/>
      <sz val="8"/>
      <color rgb="FF000000"/>
      <name val="Times New Roman"/>
      <family val="1"/>
      <charset val="1"/>
    </font>
    <font>
      <sz val="8"/>
      <color theme="1"/>
      <name val="Aptos Narrow"/>
      <family val="2"/>
      <charset val="1"/>
    </font>
    <font>
      <sz val="8"/>
      <color rgb="FF000000"/>
      <name val="Times New Roman"/>
      <family val="1"/>
      <charset val="1"/>
    </font>
    <font>
      <sz val="9"/>
      <color theme="1"/>
      <name val="Times New Roman"/>
      <family val="1"/>
      <charset val="1"/>
    </font>
    <font>
      <sz val="9"/>
      <color theme="1"/>
      <name val="Aptos Narrow"/>
      <family val="2"/>
      <charset val="1"/>
    </font>
    <font>
      <sz val="11"/>
      <color theme="1"/>
      <name val="Times New Roman"/>
      <family val="1"/>
      <charset val="1"/>
    </font>
    <font>
      <b/>
      <u/>
      <sz val="8"/>
      <color rgb="FF00B0F0"/>
      <name val="Times New Roman"/>
      <family val="1"/>
      <charset val="1"/>
    </font>
    <font>
      <b/>
      <sz val="8"/>
      <color rgb="FF00B0F0"/>
      <name val="Times New Roman"/>
      <family val="1"/>
      <charset val="1"/>
    </font>
    <font>
      <b/>
      <sz val="11"/>
      <color theme="1"/>
      <name val="Aptos Narrow"/>
      <family val="2"/>
      <charset val="1"/>
    </font>
    <font>
      <sz val="10"/>
      <name val="Arial"/>
      <family val="2"/>
    </font>
    <font>
      <sz val="9"/>
      <color rgb="FF000000"/>
      <name val="Segoe UI"/>
      <family val="2"/>
      <charset val="1"/>
    </font>
    <font>
      <sz val="10"/>
      <name val="Arial"/>
      <family val="2"/>
      <charset val="1"/>
    </font>
    <font>
      <b/>
      <u/>
      <sz val="9"/>
      <color rgb="FF000000"/>
      <name val="Times New Roman"/>
      <family val="1"/>
      <charset val="1"/>
    </font>
    <font>
      <b/>
      <sz val="9"/>
      <color rgb="FF000000"/>
      <name val="Times New Roman"/>
      <family val="1"/>
      <charset val="1"/>
    </font>
    <font>
      <b/>
      <sz val="9"/>
      <color rgb="FF000000"/>
      <name val="Segoe UI"/>
      <family val="2"/>
      <charset val="1"/>
    </font>
    <font>
      <sz val="10"/>
      <color theme="1"/>
      <name val="Times New Roman"/>
      <family val="1"/>
      <charset val="1"/>
    </font>
    <font>
      <b/>
      <i/>
      <sz val="8"/>
      <color theme="1"/>
      <name val="Times New Roman"/>
      <family val="1"/>
      <charset val="1"/>
    </font>
    <font>
      <b/>
      <sz val="10"/>
      <color rgb="FFFF0000"/>
      <name val="Arial"/>
      <family val="2"/>
    </font>
    <font>
      <b/>
      <sz val="10"/>
      <name val="Arial"/>
      <family val="2"/>
    </font>
    <font>
      <b/>
      <sz val="14"/>
      <name val="Arial"/>
      <family val="2"/>
    </font>
  </fonts>
  <fills count="24">
    <fill>
      <patternFill patternType="none"/>
    </fill>
    <fill>
      <patternFill patternType="gray125"/>
    </fill>
    <fill>
      <patternFill patternType="solid">
        <fgColor rgb="FF729FCF"/>
        <bgColor rgb="FF969696"/>
      </patternFill>
    </fill>
    <fill>
      <patternFill patternType="solid">
        <fgColor theme="4" tint="0.59987182226020086"/>
        <bgColor rgb="FF729FCF"/>
      </patternFill>
    </fill>
    <fill>
      <patternFill patternType="solid">
        <fgColor theme="3" tint="0.89989928891872917"/>
        <bgColor rgb="FFEEEEEE"/>
      </patternFill>
    </fill>
    <fill>
      <patternFill patternType="solid">
        <fgColor rgb="FFD9D9D9"/>
        <bgColor rgb="FFDCEAF7"/>
      </patternFill>
    </fill>
    <fill>
      <patternFill patternType="solid">
        <fgColor rgb="FFC1E5F5"/>
        <bgColor rgb="FFDCEAF7"/>
      </patternFill>
    </fill>
    <fill>
      <patternFill patternType="solid">
        <fgColor theme="0" tint="-0.249977111117893"/>
        <bgColor rgb="FFD9D9D9"/>
      </patternFill>
    </fill>
    <fill>
      <patternFill patternType="solid">
        <fgColor rgb="FFFEFFDE"/>
        <bgColor rgb="FFFFFFD7"/>
      </patternFill>
    </fill>
    <fill>
      <patternFill patternType="solid">
        <fgColor theme="0"/>
        <bgColor rgb="FFFEFFDE"/>
      </patternFill>
    </fill>
    <fill>
      <patternFill patternType="solid">
        <fgColor theme="5"/>
        <bgColor rgb="FFFF8080"/>
      </patternFill>
    </fill>
    <fill>
      <patternFill patternType="solid">
        <fgColor theme="5" tint="0.59987182226020086"/>
        <bgColor rgb="FFFFDBB6"/>
      </patternFill>
    </fill>
    <fill>
      <patternFill patternType="solid">
        <fgColor rgb="FFEEEEEE"/>
        <bgColor rgb="FFDCEAF7"/>
      </patternFill>
    </fill>
    <fill>
      <patternFill patternType="solid">
        <fgColor rgb="FFFFDBB6"/>
        <bgColor rgb="FFF6C7AD"/>
      </patternFill>
    </fill>
    <fill>
      <patternFill patternType="solid">
        <fgColor rgb="FFFFFFD7"/>
        <bgColor rgb="FFFEFFDE"/>
      </patternFill>
    </fill>
    <fill>
      <patternFill patternType="solid">
        <fgColor rgb="FFDCF0BD"/>
        <bgColor rgb="FFEEEEEE"/>
      </patternFill>
    </fill>
    <fill>
      <patternFill patternType="solid">
        <fgColor rgb="FFFFFF00"/>
        <bgColor indexed="64"/>
      </patternFill>
    </fill>
    <fill>
      <patternFill patternType="solid">
        <fgColor rgb="FFFFFF00"/>
        <bgColor rgb="FFFFDBB6"/>
      </patternFill>
    </fill>
    <fill>
      <patternFill patternType="solid">
        <fgColor rgb="FFFFFF00"/>
        <bgColor rgb="FFFEFFDE"/>
      </patternFill>
    </fill>
    <fill>
      <patternFill patternType="solid">
        <fgColor rgb="FFFFFF00"/>
        <bgColor rgb="FFFFFFD7"/>
      </patternFill>
    </fill>
    <fill>
      <patternFill patternType="solid">
        <fgColor theme="5" tint="0.59999389629810485"/>
        <bgColor rgb="FFFFDBB6"/>
      </patternFill>
    </fill>
    <fill>
      <patternFill patternType="solid">
        <fgColor theme="5" tint="0.59999389629810485"/>
        <bgColor indexed="64"/>
      </patternFill>
    </fill>
    <fill>
      <patternFill patternType="solid">
        <fgColor rgb="FFFFFF00"/>
        <bgColor rgb="FFEEEEEE"/>
      </patternFill>
    </fill>
    <fill>
      <patternFill patternType="solid">
        <fgColor theme="4" tint="0.59999389629810485"/>
        <bgColor indexed="64"/>
      </patternFill>
    </fill>
  </fills>
  <borders count="9">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double">
        <color auto="1"/>
      </top>
      <bottom/>
      <diagonal/>
    </border>
    <border>
      <left/>
      <right/>
      <top/>
      <bottom style="double">
        <color auto="1"/>
      </bottom>
      <diagonal/>
    </border>
    <border>
      <left/>
      <right/>
      <top style="thin">
        <color auto="1"/>
      </top>
      <bottom/>
      <diagonal/>
    </border>
  </borders>
  <cellStyleXfs count="4">
    <xf numFmtId="0" fontId="0" fillId="0" borderId="0"/>
    <xf numFmtId="0" fontId="1" fillId="0" borderId="0" applyBorder="0" applyProtection="0"/>
    <xf numFmtId="0" fontId="1" fillId="0" borderId="0" applyBorder="0" applyProtection="0"/>
    <xf numFmtId="0" fontId="13" fillId="0" borderId="0"/>
  </cellStyleXfs>
  <cellXfs count="234">
    <xf numFmtId="0" fontId="0" fillId="0" borderId="0" xfId="0"/>
    <xf numFmtId="0" fontId="3" fillId="0" borderId="1"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8" borderId="1" xfId="0" applyFont="1" applyFill="1" applyBorder="1" applyAlignment="1">
      <alignment horizontal="center" vertical="center"/>
    </xf>
    <xf numFmtId="1" fontId="2"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5" fillId="0" borderId="0" xfId="0" applyFont="1" applyAlignment="1">
      <alignment horizont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5" fillId="0" borderId="0" xfId="0" applyFont="1" applyAlignment="1">
      <alignment vertical="center"/>
    </xf>
    <xf numFmtId="0" fontId="2" fillId="4" borderId="1"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0" fontId="4" fillId="6"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10" fontId="4" fillId="0" borderId="0" xfId="0" applyNumberFormat="1" applyFont="1" applyAlignment="1">
      <alignment horizontal="center" vertical="center" wrapText="1"/>
    </xf>
    <xf numFmtId="0" fontId="6" fillId="0" borderId="0" xfId="0" applyFont="1" applyAlignment="1">
      <alignment vertical="center"/>
    </xf>
    <xf numFmtId="0" fontId="2" fillId="0" borderId="2" xfId="0" applyFont="1" applyBorder="1" applyAlignment="1">
      <alignment horizontal="center" vertical="center" wrapText="1"/>
    </xf>
    <xf numFmtId="0" fontId="0" fillId="0" borderId="0" xfId="0" applyAlignment="1">
      <alignment vertical="center"/>
    </xf>
    <xf numFmtId="2" fontId="2" fillId="0" borderId="1" xfId="0" applyNumberFormat="1" applyFont="1" applyBorder="1" applyAlignment="1">
      <alignment horizontal="center" vertical="center" wrapText="1"/>
    </xf>
    <xf numFmtId="0" fontId="3" fillId="0" borderId="0" xfId="0" applyFont="1" applyAlignment="1">
      <alignment vertical="center"/>
    </xf>
    <xf numFmtId="0" fontId="7" fillId="0" borderId="0" xfId="0" applyFont="1"/>
    <xf numFmtId="0" fontId="0" fillId="0" borderId="0" xfId="0" applyAlignment="1">
      <alignment wrapText="1"/>
    </xf>
    <xf numFmtId="0" fontId="3" fillId="0" borderId="2" xfId="0" applyFont="1" applyBorder="1" applyAlignment="1">
      <alignment horizontal="center" vertical="center" wrapText="1"/>
    </xf>
    <xf numFmtId="0" fontId="3" fillId="0" borderId="1" xfId="0" applyFont="1" applyBorder="1" applyAlignment="1">
      <alignment horizontal="center" wrapText="1"/>
    </xf>
    <xf numFmtId="0" fontId="3" fillId="0" borderId="2" xfId="0" applyFont="1" applyBorder="1" applyAlignment="1">
      <alignment horizontal="left" wrapText="1"/>
    </xf>
    <xf numFmtId="164" fontId="3" fillId="0" borderId="1"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0" xfId="0" applyFont="1" applyAlignment="1">
      <alignment wrapText="1"/>
    </xf>
    <xf numFmtId="0" fontId="2" fillId="0" borderId="5"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0" xfId="0" applyFont="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0" fontId="2" fillId="0" borderId="5" xfId="0" applyFont="1" applyBorder="1" applyAlignment="1">
      <alignment horizontal="center" vertical="center"/>
    </xf>
    <xf numFmtId="0" fontId="6"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0" fontId="6" fillId="0" borderId="7" xfId="0" applyFont="1" applyBorder="1" applyAlignment="1">
      <alignment horizontal="left" vertical="center"/>
    </xf>
    <xf numFmtId="0" fontId="6" fillId="0" borderId="0" xfId="0" applyFont="1" applyAlignment="1">
      <alignment horizontal="left" vertical="center"/>
    </xf>
    <xf numFmtId="1" fontId="6" fillId="0" borderId="1" xfId="0" applyNumberFormat="1" applyFont="1" applyBorder="1" applyAlignment="1">
      <alignment horizontal="center" vertical="center" wrapText="1"/>
    </xf>
    <xf numFmtId="0" fontId="3" fillId="0" borderId="7" xfId="0" applyFont="1" applyBorder="1" applyAlignment="1">
      <alignment horizontal="left" vertical="center"/>
    </xf>
    <xf numFmtId="0" fontId="3" fillId="0" borderId="6" xfId="0" applyFont="1" applyBorder="1" applyAlignment="1">
      <alignment horizontal="left"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3" fillId="0" borderId="1" xfId="0" applyFont="1" applyBorder="1" applyAlignment="1">
      <alignment vertical="center" wrapText="1"/>
    </xf>
    <xf numFmtId="165" fontId="3" fillId="0" borderId="1" xfId="0" applyNumberFormat="1" applyFont="1" applyBorder="1" applyAlignment="1">
      <alignment horizontal="center" vertical="center"/>
    </xf>
    <xf numFmtId="0" fontId="2" fillId="8" borderId="1" xfId="0" applyFont="1" applyFill="1" applyBorder="1" applyAlignment="1">
      <alignment horizontal="center" vertical="center"/>
    </xf>
    <xf numFmtId="164" fontId="3" fillId="8" borderId="1" xfId="0" applyNumberFormat="1" applyFont="1" applyFill="1" applyBorder="1" applyAlignment="1">
      <alignment horizontal="center" vertical="center"/>
    </xf>
    <xf numFmtId="165" fontId="3" fillId="8" borderId="1" xfId="0" applyNumberFormat="1" applyFont="1" applyFill="1" applyBorder="1" applyAlignment="1">
      <alignment horizontal="center" vertical="center"/>
    </xf>
    <xf numFmtId="0" fontId="3" fillId="0" borderId="0" xfId="0" applyFont="1" applyAlignment="1">
      <alignment horizontal="center" vertical="center"/>
    </xf>
    <xf numFmtId="164" fontId="2" fillId="8" borderId="1" xfId="0" applyNumberFormat="1" applyFont="1" applyFill="1" applyBorder="1" applyAlignment="1">
      <alignment horizontal="center" vertical="center"/>
    </xf>
    <xf numFmtId="0" fontId="8" fillId="0" borderId="0" xfId="0" applyFont="1" applyAlignment="1">
      <alignment vertical="center"/>
    </xf>
    <xf numFmtId="165" fontId="3" fillId="0" borderId="1" xfId="0" applyNumberFormat="1" applyFont="1" applyBorder="1" applyAlignment="1">
      <alignment horizontal="center" vertical="center" wrapText="1"/>
    </xf>
    <xf numFmtId="0" fontId="3" fillId="0" borderId="0" xfId="0" applyFont="1"/>
    <xf numFmtId="0" fontId="9" fillId="0" borderId="0" xfId="0" applyFont="1"/>
    <xf numFmtId="0" fontId="2" fillId="11"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0" fillId="9" borderId="0" xfId="0" applyFill="1"/>
    <xf numFmtId="0" fontId="2" fillId="13" borderId="1" xfId="0" applyFont="1" applyFill="1" applyBorder="1" applyAlignment="1">
      <alignment horizontal="center" vertical="center"/>
    </xf>
    <xf numFmtId="0" fontId="3" fillId="13" borderId="1" xfId="0" applyFont="1" applyFill="1" applyBorder="1" applyAlignment="1">
      <alignment horizontal="center" vertical="center"/>
    </xf>
    <xf numFmtId="0" fontId="4" fillId="14" borderId="1" xfId="0" applyFont="1" applyFill="1" applyBorder="1" applyAlignment="1">
      <alignment horizontal="center" vertical="center"/>
    </xf>
    <xf numFmtId="165" fontId="4" fillId="14"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165" fontId="4" fillId="11" borderId="1" xfId="0" applyNumberFormat="1" applyFont="1" applyFill="1" applyBorder="1" applyAlignment="1">
      <alignment horizontal="center" vertical="center"/>
    </xf>
    <xf numFmtId="165" fontId="2" fillId="10"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2" fontId="4" fillId="14" borderId="1" xfId="0" applyNumberFormat="1" applyFont="1" applyFill="1" applyBorder="1" applyAlignment="1">
      <alignment horizontal="center" vertical="center"/>
    </xf>
    <xf numFmtId="2" fontId="4" fillId="11" borderId="1" xfId="0" applyNumberFormat="1" applyFont="1" applyFill="1" applyBorder="1" applyAlignment="1">
      <alignment horizontal="center" vertical="center"/>
    </xf>
    <xf numFmtId="2" fontId="4" fillId="10" borderId="1" xfId="0" applyNumberFormat="1" applyFont="1" applyFill="1" applyBorder="1" applyAlignment="1">
      <alignment horizontal="center" vertical="center"/>
    </xf>
    <xf numFmtId="165" fontId="4" fillId="10" borderId="1" xfId="0" applyNumberFormat="1" applyFont="1" applyFill="1" applyBorder="1" applyAlignment="1">
      <alignment horizontal="center" vertical="center"/>
    </xf>
    <xf numFmtId="10" fontId="4" fillId="14" borderId="1" xfId="0" applyNumberFormat="1" applyFont="1" applyFill="1" applyBorder="1" applyAlignment="1">
      <alignment horizontal="center" vertical="center"/>
    </xf>
    <xf numFmtId="10" fontId="4" fillId="11" borderId="1" xfId="0" applyNumberFormat="1" applyFont="1" applyFill="1" applyBorder="1" applyAlignment="1">
      <alignment horizontal="center" vertical="center"/>
    </xf>
    <xf numFmtId="10" fontId="4" fillId="10" borderId="1" xfId="0" applyNumberFormat="1" applyFont="1" applyFill="1" applyBorder="1" applyAlignment="1">
      <alignment horizontal="center" vertical="center"/>
    </xf>
    <xf numFmtId="0" fontId="12" fillId="0" borderId="0" xfId="0" applyFont="1"/>
    <xf numFmtId="0" fontId="6" fillId="0" borderId="1" xfId="0" applyFont="1" applyBorder="1" applyAlignment="1">
      <alignment horizontal="center" vertical="center"/>
    </xf>
    <xf numFmtId="164" fontId="4" fillId="11" borderId="1" xfId="0" applyNumberFormat="1" applyFont="1" applyFill="1" applyBorder="1" applyAlignment="1">
      <alignment horizontal="center" vertical="center"/>
    </xf>
    <xf numFmtId="0" fontId="6" fillId="14" borderId="1" xfId="0" applyFont="1" applyFill="1" applyBorder="1" applyAlignment="1">
      <alignment horizontal="center" vertical="center"/>
    </xf>
    <xf numFmtId="0" fontId="2" fillId="14" borderId="1" xfId="0" applyFont="1" applyFill="1" applyBorder="1" applyAlignment="1">
      <alignment horizontal="center" vertical="center"/>
    </xf>
    <xf numFmtId="165" fontId="4" fillId="8" borderId="1" xfId="0" applyNumberFormat="1" applyFont="1" applyFill="1" applyBorder="1" applyAlignment="1">
      <alignment horizontal="center" vertical="center"/>
    </xf>
    <xf numFmtId="0" fontId="4" fillId="8" borderId="1" xfId="0" applyFont="1" applyFill="1" applyBorder="1" applyAlignment="1">
      <alignment horizontal="center" vertical="center"/>
    </xf>
    <xf numFmtId="0" fontId="6" fillId="8" borderId="1" xfId="0" applyFont="1" applyFill="1" applyBorder="1" applyAlignment="1">
      <alignment horizontal="center" vertical="center"/>
    </xf>
    <xf numFmtId="0" fontId="4" fillId="11" borderId="0" xfId="0" applyFont="1" applyFill="1" applyAlignment="1">
      <alignment horizontal="center" vertical="center" wrapText="1"/>
    </xf>
    <xf numFmtId="0" fontId="4" fillId="11"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165" fontId="4" fillId="14" borderId="1" xfId="0" applyNumberFormat="1" applyFont="1" applyFill="1" applyBorder="1" applyAlignment="1">
      <alignment horizontal="center" vertical="center" wrapText="1"/>
    </xf>
    <xf numFmtId="2" fontId="2" fillId="10" borderId="1" xfId="0" applyNumberFormat="1" applyFont="1" applyFill="1" applyBorder="1" applyAlignment="1">
      <alignment horizontal="center" vertical="center"/>
    </xf>
    <xf numFmtId="10" fontId="2" fillId="10" borderId="1" xfId="0" applyNumberFormat="1" applyFont="1" applyFill="1" applyBorder="1" applyAlignment="1">
      <alignment horizontal="center" vertical="center"/>
    </xf>
    <xf numFmtId="165" fontId="2" fillId="13" borderId="1" xfId="0" applyNumberFormat="1" applyFont="1" applyFill="1" applyBorder="1" applyAlignment="1">
      <alignment horizontal="center" vertical="center"/>
    </xf>
    <xf numFmtId="165" fontId="2" fillId="14" borderId="1" xfId="0" applyNumberFormat="1" applyFont="1" applyFill="1" applyBorder="1" applyAlignment="1">
      <alignment horizontal="center" vertical="center"/>
    </xf>
    <xf numFmtId="0" fontId="4" fillId="11" borderId="1" xfId="0" applyFont="1" applyFill="1" applyBorder="1" applyAlignment="1">
      <alignment horizontal="center"/>
    </xf>
    <xf numFmtId="0" fontId="6" fillId="11" borderId="1" xfId="0" applyFont="1" applyFill="1" applyBorder="1" applyAlignment="1">
      <alignment horizontal="center"/>
    </xf>
    <xf numFmtId="164" fontId="4" fillId="14" borderId="1" xfId="0" applyNumberFormat="1" applyFont="1" applyFill="1" applyBorder="1" applyAlignment="1">
      <alignment horizontal="center" vertical="center"/>
    </xf>
    <xf numFmtId="10" fontId="4" fillId="10" borderId="1" xfId="0" applyNumberFormat="1" applyFont="1" applyFill="1" applyBorder="1" applyAlignment="1">
      <alignment horizontal="center"/>
    </xf>
    <xf numFmtId="165" fontId="4" fillId="10" borderId="1" xfId="0" applyNumberFormat="1" applyFont="1" applyFill="1" applyBorder="1" applyAlignment="1">
      <alignment horizontal="center"/>
    </xf>
    <xf numFmtId="0" fontId="6" fillId="14" borderId="1" xfId="0" applyFont="1" applyFill="1" applyBorder="1" applyAlignment="1">
      <alignment horizontal="center"/>
    </xf>
    <xf numFmtId="165" fontId="4" fillId="14" borderId="1" xfId="0" applyNumberFormat="1" applyFont="1" applyFill="1" applyBorder="1" applyAlignment="1">
      <alignment horizontal="center"/>
    </xf>
    <xf numFmtId="0" fontId="4" fillId="14" borderId="1" xfId="0" applyFont="1" applyFill="1" applyBorder="1" applyAlignment="1">
      <alignment horizontal="center"/>
    </xf>
    <xf numFmtId="165" fontId="4" fillId="11" borderId="1" xfId="0" applyNumberFormat="1" applyFont="1" applyFill="1" applyBorder="1" applyAlignment="1">
      <alignment horizontal="center"/>
    </xf>
    <xf numFmtId="10" fontId="2" fillId="14" borderId="1" xfId="0" applyNumberFormat="1" applyFont="1" applyFill="1" applyBorder="1" applyAlignment="1">
      <alignment horizontal="center" vertical="center"/>
    </xf>
    <xf numFmtId="10" fontId="2" fillId="13" borderId="1" xfId="0" applyNumberFormat="1" applyFont="1" applyFill="1" applyBorder="1" applyAlignment="1">
      <alignment horizontal="center" vertical="center"/>
    </xf>
    <xf numFmtId="0" fontId="6" fillId="8" borderId="1" xfId="0" applyFont="1" applyFill="1" applyBorder="1" applyAlignment="1">
      <alignment horizontal="center"/>
    </xf>
    <xf numFmtId="0" fontId="2" fillId="15" borderId="1" xfId="0" applyFont="1" applyFill="1" applyBorder="1" applyAlignment="1">
      <alignment horizontal="center" vertical="center"/>
    </xf>
    <xf numFmtId="0" fontId="2" fillId="13" borderId="0" xfId="0" applyFont="1" applyFill="1" applyAlignment="1">
      <alignment horizontal="center" vertical="center" wrapText="1"/>
    </xf>
    <xf numFmtId="0" fontId="2" fillId="13" borderId="1" xfId="0" applyFont="1" applyFill="1" applyBorder="1" applyAlignment="1">
      <alignment horizontal="center" vertical="center" wrapText="1"/>
    </xf>
    <xf numFmtId="0" fontId="2" fillId="14" borderId="1" xfId="0" applyFont="1" applyFill="1" applyBorder="1" applyAlignment="1">
      <alignment horizontal="center" vertical="center" wrapText="1"/>
    </xf>
    <xf numFmtId="165" fontId="2" fillId="14" borderId="1" xfId="0" applyNumberFormat="1" applyFont="1" applyFill="1" applyBorder="1" applyAlignment="1">
      <alignment horizontal="center" vertical="center" wrapText="1"/>
    </xf>
    <xf numFmtId="0" fontId="19" fillId="0" borderId="0" xfId="0" applyFont="1"/>
    <xf numFmtId="0" fontId="0" fillId="0" borderId="0" xfId="0" applyAlignment="1">
      <alignment horizontal="center"/>
    </xf>
    <xf numFmtId="0" fontId="2" fillId="11" borderId="1" xfId="0" applyFont="1" applyFill="1" applyBorder="1" applyAlignment="1">
      <alignment vertical="center" wrapText="1"/>
    </xf>
    <xf numFmtId="165" fontId="2" fillId="11" borderId="1" xfId="0" applyNumberFormat="1" applyFont="1" applyFill="1" applyBorder="1" applyAlignment="1">
      <alignment horizontal="center" vertical="center" wrapText="1"/>
    </xf>
    <xf numFmtId="165" fontId="2" fillId="8" borderId="1" xfId="0" applyNumberFormat="1" applyFont="1" applyFill="1" applyBorder="1" applyAlignment="1">
      <alignment horizontal="center" vertical="center" wrapText="1"/>
    </xf>
    <xf numFmtId="164" fontId="2" fillId="11" borderId="1" xfId="0" applyNumberFormat="1" applyFont="1" applyFill="1" applyBorder="1" applyAlignment="1">
      <alignment horizontal="center" vertical="center" wrapText="1"/>
    </xf>
    <xf numFmtId="1" fontId="2" fillId="11" borderId="1" xfId="0" applyNumberFormat="1" applyFont="1" applyFill="1" applyBorder="1" applyAlignment="1">
      <alignment horizontal="center" vertical="center" wrapText="1"/>
    </xf>
    <xf numFmtId="0" fontId="2" fillId="11" borderId="6" xfId="0" applyFont="1" applyFill="1" applyBorder="1" applyAlignment="1">
      <alignment horizontal="center" vertical="center" wrapText="1"/>
    </xf>
    <xf numFmtId="164" fontId="2" fillId="8" borderId="1" xfId="0" applyNumberFormat="1" applyFont="1" applyFill="1" applyBorder="1" applyAlignment="1">
      <alignment horizontal="center" vertical="center" wrapText="1"/>
    </xf>
    <xf numFmtId="0" fontId="8" fillId="0" borderId="0" xfId="0" applyFont="1"/>
    <xf numFmtId="164" fontId="2" fillId="0" borderId="1" xfId="0" applyNumberFormat="1" applyFont="1" applyBorder="1" applyAlignment="1">
      <alignment horizontal="center" wrapText="1"/>
    </xf>
    <xf numFmtId="164" fontId="3" fillId="16" borderId="1" xfId="0" applyNumberFormat="1" applyFont="1" applyFill="1" applyBorder="1" applyAlignment="1">
      <alignment horizontal="center" wrapText="1"/>
    </xf>
    <xf numFmtId="164" fontId="2" fillId="16" borderId="1" xfId="0" applyNumberFormat="1" applyFont="1" applyFill="1" applyBorder="1" applyAlignment="1">
      <alignment horizontal="center" vertical="center" wrapText="1"/>
    </xf>
    <xf numFmtId="164" fontId="3" fillId="16" borderId="1" xfId="0" applyNumberFormat="1" applyFont="1" applyFill="1" applyBorder="1" applyAlignment="1">
      <alignment horizontal="center" vertical="center" wrapText="1"/>
    </xf>
    <xf numFmtId="164" fontId="6" fillId="16" borderId="1" xfId="0" applyNumberFormat="1" applyFont="1" applyFill="1" applyBorder="1" applyAlignment="1">
      <alignment horizontal="center" vertical="center" wrapText="1"/>
    </xf>
    <xf numFmtId="164" fontId="6" fillId="16"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xf>
    <xf numFmtId="164" fontId="3" fillId="16" borderId="1" xfId="0" applyNumberFormat="1" applyFont="1" applyFill="1" applyBorder="1" applyAlignment="1">
      <alignment horizontal="center" vertical="center"/>
    </xf>
    <xf numFmtId="165" fontId="3" fillId="16" borderId="1" xfId="0" applyNumberFormat="1" applyFont="1" applyFill="1" applyBorder="1" applyAlignment="1">
      <alignment horizontal="center" vertical="center" wrapText="1"/>
    </xf>
    <xf numFmtId="165" fontId="4" fillId="17" borderId="1" xfId="0" applyNumberFormat="1" applyFont="1" applyFill="1" applyBorder="1" applyAlignment="1">
      <alignment horizontal="center" vertical="center"/>
    </xf>
    <xf numFmtId="165" fontId="4" fillId="18" borderId="1" xfId="0" applyNumberFormat="1" applyFont="1" applyFill="1" applyBorder="1" applyAlignment="1">
      <alignment horizontal="center" vertical="center"/>
    </xf>
    <xf numFmtId="10" fontId="4" fillId="17" borderId="1" xfId="0" applyNumberFormat="1" applyFont="1" applyFill="1" applyBorder="1" applyAlignment="1">
      <alignment horizontal="center" vertical="center"/>
    </xf>
    <xf numFmtId="10" fontId="4" fillId="18" borderId="1" xfId="0" applyNumberFormat="1" applyFont="1" applyFill="1" applyBorder="1" applyAlignment="1">
      <alignment horizontal="center" vertical="center"/>
    </xf>
    <xf numFmtId="165" fontId="4" fillId="0" borderId="1" xfId="0" applyNumberFormat="1" applyFont="1" applyBorder="1" applyAlignment="1">
      <alignment horizontal="center" vertical="center"/>
    </xf>
    <xf numFmtId="165" fontId="4" fillId="21" borderId="1" xfId="0" applyNumberFormat="1" applyFont="1" applyFill="1" applyBorder="1" applyAlignment="1">
      <alignment horizontal="center" vertical="center"/>
    </xf>
    <xf numFmtId="10" fontId="4" fillId="19" borderId="1" xfId="0" applyNumberFormat="1" applyFont="1" applyFill="1" applyBorder="1" applyAlignment="1">
      <alignment horizontal="center" vertical="center"/>
    </xf>
    <xf numFmtId="10" fontId="2" fillId="22" borderId="1" xfId="0" applyNumberFormat="1" applyFont="1" applyFill="1" applyBorder="1" applyAlignment="1">
      <alignment horizontal="center" vertical="center"/>
    </xf>
    <xf numFmtId="10" fontId="2" fillId="19" borderId="1" xfId="0" applyNumberFormat="1" applyFont="1" applyFill="1" applyBorder="1" applyAlignment="1">
      <alignment horizontal="center" vertical="center"/>
    </xf>
    <xf numFmtId="0" fontId="13" fillId="0" borderId="0" xfId="3"/>
    <xf numFmtId="0" fontId="22" fillId="0" borderId="0" xfId="3" applyFont="1" applyAlignment="1">
      <alignment horizontal="left" vertical="center" indent="1"/>
    </xf>
    <xf numFmtId="0" fontId="22" fillId="0" borderId="0" xfId="3" applyFont="1" applyAlignment="1">
      <alignment horizontal="left" vertical="center" wrapText="1"/>
    </xf>
    <xf numFmtId="0" fontId="22" fillId="0" borderId="0" xfId="3" applyFont="1" applyAlignment="1">
      <alignment horizontal="left" vertical="center" wrapText="1" indent="1"/>
    </xf>
    <xf numFmtId="0" fontId="22" fillId="0" borderId="0" xfId="3" applyFont="1" applyAlignment="1">
      <alignment horizontal="left" indent="1"/>
    </xf>
    <xf numFmtId="166" fontId="13" fillId="0" borderId="0" xfId="3" applyNumberFormat="1" applyAlignment="1">
      <alignment horizontal="left" vertical="center" wrapText="1" indent="1"/>
    </xf>
    <xf numFmtId="0" fontId="13" fillId="0" borderId="0" xfId="3" applyAlignment="1">
      <alignment horizontal="left" vertical="center" wrapText="1" indent="1"/>
    </xf>
    <xf numFmtId="167" fontId="13" fillId="0" borderId="0" xfId="3" applyNumberFormat="1" applyAlignment="1">
      <alignment horizontal="left" vertical="center" wrapText="1" indent="1"/>
    </xf>
    <xf numFmtId="0" fontId="22" fillId="0" borderId="0" xfId="3" applyFont="1" applyAlignment="1">
      <alignment horizontal="center" vertical="center"/>
    </xf>
    <xf numFmtId="0" fontId="13" fillId="0" borderId="0" xfId="3" applyAlignment="1">
      <alignment wrapText="1"/>
    </xf>
    <xf numFmtId="10" fontId="4" fillId="16" borderId="1" xfId="0" applyNumberFormat="1" applyFont="1" applyFill="1" applyBorder="1" applyAlignment="1">
      <alignment horizontal="center" vertical="center" wrapText="1"/>
    </xf>
    <xf numFmtId="0" fontId="21" fillId="0" borderId="0" xfId="3" applyFont="1" applyAlignment="1">
      <alignment horizontal="left"/>
    </xf>
    <xf numFmtId="0" fontId="22" fillId="0" borderId="0" xfId="3" applyFont="1" applyAlignment="1">
      <alignment horizontal="left" vertical="center" wrapText="1"/>
    </xf>
    <xf numFmtId="0" fontId="22" fillId="0" borderId="0" xfId="3" applyFont="1" applyAlignment="1">
      <alignment horizontal="left" vertical="center" wrapText="1" indent="1"/>
    </xf>
    <xf numFmtId="0" fontId="23" fillId="23" borderId="0" xfId="3" applyFont="1" applyFill="1" applyAlignment="1">
      <alignment horizontal="center" vertical="center"/>
    </xf>
    <xf numFmtId="0" fontId="23" fillId="0" borderId="0" xfId="3" applyFont="1" applyAlignment="1">
      <alignment horizontal="center" vertical="center"/>
    </xf>
    <xf numFmtId="0" fontId="2" fillId="8" borderId="1" xfId="0" applyFont="1" applyFill="1" applyBorder="1" applyAlignment="1">
      <alignment horizontal="center" vertical="center" wrapText="1"/>
    </xf>
    <xf numFmtId="164" fontId="2" fillId="8"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8" borderId="1" xfId="0" applyFont="1" applyFill="1" applyBorder="1" applyAlignment="1">
      <alignment horizontal="left" vertical="center" wrapText="1"/>
    </xf>
    <xf numFmtId="0" fontId="2" fillId="11" borderId="1" xfId="0" applyFont="1" applyFill="1" applyBorder="1" applyAlignment="1">
      <alignment horizontal="left" vertical="center" wrapText="1"/>
    </xf>
    <xf numFmtId="0" fontId="20" fillId="8"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8" borderId="1" xfId="0" applyFont="1" applyFill="1" applyBorder="1" applyAlignment="1">
      <alignment horizontal="center" vertical="center"/>
    </xf>
    <xf numFmtId="0" fontId="2" fillId="0" borderId="1" xfId="0" applyFont="1" applyBorder="1" applyAlignment="1">
      <alignment horizontal="center" vertical="center"/>
    </xf>
    <xf numFmtId="0" fontId="6" fillId="11" borderId="1" xfId="0" applyFont="1" applyFill="1" applyBorder="1" applyAlignment="1">
      <alignment horizontal="left" vertical="center"/>
    </xf>
    <xf numFmtId="0" fontId="6" fillId="14" borderId="1" xfId="0" applyFont="1" applyFill="1" applyBorder="1" applyAlignment="1">
      <alignment horizontal="left" vertical="center"/>
    </xf>
    <xf numFmtId="0" fontId="4" fillId="14" borderId="1" xfId="0" applyFont="1" applyFill="1" applyBorder="1" applyAlignment="1">
      <alignment horizontal="center" vertical="center"/>
    </xf>
    <xf numFmtId="0" fontId="6" fillId="0" borderId="1" xfId="0" applyFont="1" applyBorder="1" applyAlignment="1">
      <alignment horizontal="center" vertical="center"/>
    </xf>
    <xf numFmtId="0" fontId="4" fillId="10" borderId="1" xfId="0" applyFont="1" applyFill="1" applyBorder="1" applyAlignment="1">
      <alignment horizontal="center" vertical="center" wrapText="1"/>
    </xf>
    <xf numFmtId="0" fontId="6" fillId="8" borderId="1" xfId="0" applyFont="1" applyFill="1" applyBorder="1" applyAlignment="1">
      <alignment horizontal="left" vertical="center"/>
    </xf>
    <xf numFmtId="0" fontId="4" fillId="10" borderId="1" xfId="0" applyFont="1" applyFill="1" applyBorder="1" applyAlignment="1">
      <alignment horizontal="center" vertical="center"/>
    </xf>
    <xf numFmtId="0" fontId="4" fillId="0" borderId="1" xfId="0" applyFont="1" applyBorder="1" applyAlignment="1">
      <alignment horizontal="center" vertical="center"/>
    </xf>
    <xf numFmtId="0" fontId="3" fillId="14" borderId="1" xfId="0" applyFont="1" applyFill="1" applyBorder="1" applyAlignment="1">
      <alignment vertical="center"/>
    </xf>
    <xf numFmtId="0" fontId="4" fillId="11" borderId="1" xfId="0" applyFont="1" applyFill="1" applyBorder="1" applyAlignment="1">
      <alignment horizontal="center" vertical="center"/>
    </xf>
    <xf numFmtId="0" fontId="4" fillId="8" borderId="1" xfId="0" applyFont="1" applyFill="1" applyBorder="1" applyAlignment="1">
      <alignment horizontal="center" vertical="center"/>
    </xf>
    <xf numFmtId="0" fontId="6" fillId="11" borderId="1" xfId="0" applyFont="1" applyFill="1" applyBorder="1" applyAlignment="1">
      <alignment horizontal="center" vertical="center"/>
    </xf>
    <xf numFmtId="165" fontId="6" fillId="14" borderId="1" xfId="0" applyNumberFormat="1" applyFont="1" applyFill="1" applyBorder="1" applyAlignment="1">
      <alignment horizontal="left" vertical="center"/>
    </xf>
    <xf numFmtId="0" fontId="6" fillId="20" borderId="1" xfId="0" applyFont="1" applyFill="1" applyBorder="1" applyAlignment="1">
      <alignment horizontal="left" vertical="center"/>
    </xf>
    <xf numFmtId="0" fontId="6" fillId="11" borderId="1" xfId="0" applyFont="1" applyFill="1" applyBorder="1" applyAlignment="1">
      <alignment vertical="center"/>
    </xf>
    <xf numFmtId="165" fontId="4" fillId="14" borderId="1" xfId="0" applyNumberFormat="1" applyFont="1" applyFill="1" applyBorder="1" applyAlignment="1">
      <alignment horizontal="center" vertical="center"/>
    </xf>
    <xf numFmtId="0" fontId="2" fillId="10" borderId="1" xfId="0" applyFont="1" applyFill="1" applyBorder="1" applyAlignment="1">
      <alignment horizontal="center" vertical="center"/>
    </xf>
    <xf numFmtId="0" fontId="3" fillId="0" borderId="1" xfId="0" applyFont="1" applyBorder="1" applyAlignment="1">
      <alignment vertical="center"/>
    </xf>
    <xf numFmtId="0" fontId="2" fillId="12" borderId="6" xfId="0" applyFont="1" applyFill="1" applyBorder="1" applyAlignment="1">
      <alignment horizontal="center" vertical="center"/>
    </xf>
    <xf numFmtId="0" fontId="3" fillId="13" borderId="1" xfId="0" applyFont="1" applyFill="1" applyBorder="1" applyAlignment="1">
      <alignment horizontal="center" vertical="center"/>
    </xf>
    <xf numFmtId="0" fontId="2" fillId="11" borderId="1" xfId="0" applyFont="1" applyFill="1" applyBorder="1" applyAlignment="1">
      <alignment horizontal="center" vertical="center"/>
    </xf>
    <xf numFmtId="0" fontId="2" fillId="8" borderId="1" xfId="0" applyFont="1" applyFill="1" applyBorder="1" applyAlignment="1">
      <alignment horizontal="center" vertical="center"/>
    </xf>
    <xf numFmtId="0" fontId="10" fillId="8" borderId="1" xfId="2" applyFont="1" applyFill="1" applyBorder="1" applyAlignment="1" applyProtection="1">
      <alignment horizontal="center" vertical="center"/>
    </xf>
    <xf numFmtId="165" fontId="2" fillId="17" borderId="1" xfId="0" applyNumberFormat="1" applyFont="1" applyFill="1" applyBorder="1" applyAlignment="1">
      <alignment horizontal="center" vertical="center"/>
    </xf>
    <xf numFmtId="0" fontId="2" fillId="17" borderId="1" xfId="0" applyFont="1" applyFill="1" applyBorder="1" applyAlignment="1">
      <alignment horizontal="center" vertical="center"/>
    </xf>
    <xf numFmtId="0" fontId="4" fillId="17" borderId="1" xfId="0" applyFont="1" applyFill="1" applyBorder="1" applyAlignment="1">
      <alignment horizontal="left" vertical="center"/>
    </xf>
    <xf numFmtId="0" fontId="3" fillId="9" borderId="6" xfId="0" applyFont="1" applyFill="1" applyBorder="1" applyAlignment="1">
      <alignment vertical="center"/>
    </xf>
    <xf numFmtId="0" fontId="10" fillId="11" borderId="1" xfId="2" applyFont="1" applyFill="1" applyBorder="1" applyAlignment="1" applyProtection="1">
      <alignment horizontal="center" vertical="center"/>
    </xf>
    <xf numFmtId="0" fontId="2" fillId="19" borderId="1" xfId="0" applyFont="1" applyFill="1" applyBorder="1" applyAlignment="1">
      <alignment horizontal="center" vertical="center"/>
    </xf>
    <xf numFmtId="0" fontId="3" fillId="13" borderId="1" xfId="0" applyFont="1" applyFill="1" applyBorder="1" applyAlignment="1">
      <alignment vertical="center"/>
    </xf>
    <xf numFmtId="0" fontId="2" fillId="14" borderId="1" xfId="0" applyFont="1" applyFill="1" applyBorder="1" applyAlignment="1">
      <alignment horizontal="center" vertical="center"/>
    </xf>
    <xf numFmtId="0" fontId="3" fillId="15" borderId="1" xfId="0" applyFont="1" applyFill="1" applyBorder="1" applyAlignment="1">
      <alignment vertical="center"/>
    </xf>
    <xf numFmtId="0" fontId="3" fillId="8" borderId="1" xfId="0" applyFont="1" applyFill="1" applyBorder="1" applyAlignment="1">
      <alignment vertical="center"/>
    </xf>
    <xf numFmtId="0" fontId="3" fillId="10" borderId="1" xfId="0" applyFont="1" applyFill="1" applyBorder="1" applyAlignment="1">
      <alignment horizontal="center" vertical="center"/>
    </xf>
    <xf numFmtId="0" fontId="2" fillId="13" borderId="1" xfId="0" applyFont="1" applyFill="1" applyBorder="1" applyAlignment="1">
      <alignment horizontal="center" vertical="center"/>
    </xf>
    <xf numFmtId="0" fontId="6" fillId="11" borderId="1" xfId="0" applyFont="1" applyFill="1" applyBorder="1"/>
    <xf numFmtId="0" fontId="6" fillId="14" borderId="1" xfId="0" applyFont="1" applyFill="1" applyBorder="1"/>
    <xf numFmtId="0" fontId="4" fillId="10" borderId="1" xfId="0" applyFont="1" applyFill="1" applyBorder="1" applyAlignment="1">
      <alignment horizontal="center"/>
    </xf>
    <xf numFmtId="0" fontId="4" fillId="0" borderId="1" xfId="0" applyFont="1" applyBorder="1" applyAlignment="1">
      <alignment horizontal="center"/>
    </xf>
    <xf numFmtId="0" fontId="2" fillId="14" borderId="1" xfId="0" applyFont="1" applyFill="1" applyBorder="1" applyAlignment="1">
      <alignment vertical="center"/>
    </xf>
    <xf numFmtId="0" fontId="6" fillId="14" borderId="1" xfId="0" applyFont="1" applyFill="1" applyBorder="1" applyAlignment="1">
      <alignment horizontal="left" vertical="center" wrapText="1"/>
    </xf>
    <xf numFmtId="0" fontId="2" fillId="13" borderId="1" xfId="0" applyFont="1" applyFill="1" applyBorder="1" applyAlignment="1">
      <alignment vertical="center"/>
    </xf>
    <xf numFmtId="165" fontId="2" fillId="14" borderId="1" xfId="0" applyNumberFormat="1" applyFont="1" applyFill="1" applyBorder="1" applyAlignment="1">
      <alignment horizontal="center" vertical="center"/>
    </xf>
    <xf numFmtId="0" fontId="10" fillId="8" borderId="1" xfId="1" applyFont="1" applyFill="1" applyBorder="1" applyAlignment="1" applyProtection="1">
      <alignment horizontal="center" vertical="center"/>
    </xf>
    <xf numFmtId="164" fontId="2" fillId="0" borderId="1" xfId="0" applyNumberFormat="1" applyFont="1" applyFill="1" applyBorder="1" applyAlignment="1">
      <alignment horizontal="center" vertical="center" wrapText="1"/>
    </xf>
  </cellXfs>
  <cellStyles count="4">
    <cellStyle name="Hiperlink" xfId="1" builtinId="8"/>
    <cellStyle name="Hyperlink 1" xfId="2" xr:uid="{00000000-0005-0000-0000-000006000000}"/>
    <cellStyle name="Normal" xfId="0" builtinId="0"/>
    <cellStyle name="Normal 2" xfId="3" xr:uid="{FAB5F435-5781-4F8B-AE6A-309B04D8D92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729FCF"/>
      <rgbColor rgb="FF993366"/>
      <rgbColor rgb="FFFFFFD7"/>
      <rgbColor rgb="FFDCEAF7"/>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C1E5F5"/>
      <rgbColor rgb="FFDCF0BD"/>
      <rgbColor rgb="FFFEFFDE"/>
      <rgbColor rgb="FF82CAEC"/>
      <rgbColor rgb="FFFFDBB6"/>
      <rgbColor rgb="FFEEEEEE"/>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1457280</xdr:colOff>
      <xdr:row>0</xdr:row>
      <xdr:rowOff>57240</xdr:rowOff>
    </xdr:from>
    <xdr:to>
      <xdr:col>3</xdr:col>
      <xdr:colOff>948600</xdr:colOff>
      <xdr:row>0</xdr:row>
      <xdr:rowOff>1629720</xdr:rowOff>
    </xdr:to>
    <xdr:pic>
      <xdr:nvPicPr>
        <xdr:cNvPr id="2" name="Imagem 2">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1"/>
        <a:stretch/>
      </xdr:blipFill>
      <xdr:spPr>
        <a:xfrm>
          <a:off x="2310120" y="57240"/>
          <a:ext cx="2808360" cy="15724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514320-faxin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33E95-6C8B-4023-A9D8-638E6CF9A70D}">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146" customWidth="1"/>
    <col min="2" max="10" width="17.88671875" style="146" customWidth="1"/>
    <col min="11" max="64" width="11.6640625" style="146" customWidth="1"/>
    <col min="65" max="16384" width="8.88671875" style="146"/>
  </cols>
  <sheetData>
    <row r="1" spans="1:64" ht="12.75" customHeight="1" x14ac:dyDescent="0.25">
      <c r="A1" s="160" t="s">
        <v>530</v>
      </c>
      <c r="B1" s="160"/>
      <c r="C1" s="160"/>
      <c r="D1" s="160"/>
      <c r="E1" s="160"/>
      <c r="F1" s="160"/>
      <c r="G1" s="160"/>
      <c r="H1" s="160"/>
      <c r="I1" s="160"/>
      <c r="J1" s="160"/>
    </row>
    <row r="2" spans="1:64" ht="18" customHeight="1" x14ac:dyDescent="0.25">
      <c r="A2" s="160"/>
      <c r="B2" s="160"/>
      <c r="C2" s="160"/>
      <c r="D2" s="160"/>
      <c r="E2" s="160"/>
      <c r="F2" s="160"/>
      <c r="G2" s="160"/>
      <c r="H2" s="160"/>
      <c r="I2" s="160"/>
      <c r="J2" s="160"/>
    </row>
    <row r="4" spans="1:64" ht="17.399999999999999" x14ac:dyDescent="0.25">
      <c r="A4" s="161" t="s">
        <v>529</v>
      </c>
      <c r="B4" s="161"/>
      <c r="C4" s="161"/>
      <c r="D4" s="161"/>
      <c r="E4" s="161"/>
      <c r="F4" s="161"/>
      <c r="G4" s="161"/>
      <c r="H4" s="161"/>
      <c r="I4" s="161"/>
      <c r="J4" s="161"/>
    </row>
    <row r="8" spans="1:64" x14ac:dyDescent="0.25">
      <c r="A8" s="148"/>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row>
    <row r="9" spans="1:64" ht="12.75" customHeight="1" x14ac:dyDescent="0.25">
      <c r="A9" s="147">
        <v>1</v>
      </c>
      <c r="B9" s="159" t="s">
        <v>528</v>
      </c>
      <c r="C9" s="159"/>
      <c r="D9" s="159"/>
      <c r="E9" s="159"/>
      <c r="F9" s="159"/>
      <c r="G9" s="159"/>
      <c r="H9" s="159"/>
      <c r="I9" s="159"/>
      <c r="J9" s="159"/>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row>
    <row r="10" spans="1:64" x14ac:dyDescent="0.25">
      <c r="A10" s="154"/>
      <c r="B10" s="154"/>
      <c r="C10" s="154"/>
      <c r="D10" s="154"/>
      <c r="E10" s="154"/>
      <c r="F10" s="154"/>
      <c r="G10" s="154"/>
      <c r="H10" s="154"/>
      <c r="I10" s="154"/>
      <c r="J10" s="154"/>
    </row>
    <row r="11" spans="1:64" ht="24.6" customHeight="1" x14ac:dyDescent="0.25">
      <c r="A11" s="147">
        <v>2</v>
      </c>
      <c r="B11" s="159" t="s">
        <v>531</v>
      </c>
      <c r="C11" s="159"/>
      <c r="D11" s="159"/>
      <c r="E11" s="159"/>
      <c r="F11" s="159"/>
      <c r="G11" s="159"/>
      <c r="H11" s="159"/>
      <c r="I11" s="159"/>
      <c r="J11" s="159"/>
    </row>
    <row r="12" spans="1:64" x14ac:dyDescent="0.25">
      <c r="A12" s="147"/>
      <c r="B12" s="152"/>
      <c r="C12" s="152"/>
      <c r="D12" s="152"/>
      <c r="E12" s="153"/>
      <c r="F12" s="151"/>
      <c r="G12" s="151"/>
      <c r="H12" s="152"/>
      <c r="I12" s="151"/>
      <c r="J12" s="151"/>
    </row>
    <row r="13" spans="1:64" ht="24.6" customHeight="1" x14ac:dyDescent="0.25">
      <c r="A13" s="147">
        <v>3</v>
      </c>
      <c r="B13" s="159" t="s">
        <v>527</v>
      </c>
      <c r="C13" s="159"/>
      <c r="D13" s="159"/>
      <c r="E13" s="159"/>
      <c r="F13" s="159"/>
      <c r="G13" s="159"/>
      <c r="H13" s="159"/>
      <c r="I13" s="159"/>
      <c r="J13" s="159"/>
    </row>
    <row r="14" spans="1:64" x14ac:dyDescent="0.25">
      <c r="A14" s="147"/>
      <c r="B14" s="152"/>
      <c r="C14" s="152"/>
      <c r="D14" s="152"/>
      <c r="E14" s="153"/>
      <c r="F14" s="151"/>
      <c r="G14" s="151"/>
      <c r="H14" s="152"/>
      <c r="I14" s="151"/>
      <c r="J14" s="151"/>
    </row>
    <row r="15" spans="1:64" ht="24.6" customHeight="1" x14ac:dyDescent="0.25">
      <c r="A15" s="147">
        <v>4</v>
      </c>
      <c r="B15" s="159" t="s">
        <v>532</v>
      </c>
      <c r="C15" s="159"/>
      <c r="D15" s="159"/>
      <c r="E15" s="159"/>
      <c r="F15" s="159"/>
      <c r="G15" s="159"/>
      <c r="H15" s="159"/>
      <c r="I15" s="159"/>
      <c r="J15" s="159"/>
    </row>
    <row r="16" spans="1:64" x14ac:dyDescent="0.25">
      <c r="A16" s="147"/>
      <c r="B16" s="149"/>
      <c r="C16" s="149"/>
      <c r="D16" s="149"/>
      <c r="E16" s="149"/>
      <c r="F16" s="149"/>
      <c r="G16" s="149"/>
      <c r="H16" s="149"/>
      <c r="I16" s="149"/>
      <c r="J16" s="149"/>
    </row>
    <row r="17" spans="1:10" ht="12.9" customHeight="1" x14ac:dyDescent="0.25">
      <c r="A17" s="147">
        <v>5</v>
      </c>
      <c r="B17" s="159" t="s">
        <v>526</v>
      </c>
      <c r="C17" s="159"/>
      <c r="D17" s="159"/>
      <c r="E17" s="159"/>
      <c r="F17" s="159"/>
      <c r="G17" s="159"/>
      <c r="H17" s="159"/>
      <c r="I17" s="159"/>
      <c r="J17" s="159"/>
    </row>
    <row r="18" spans="1:10" x14ac:dyDescent="0.25">
      <c r="A18" s="147"/>
      <c r="B18" s="152"/>
      <c r="C18" s="152"/>
      <c r="D18" s="152"/>
      <c r="E18" s="153"/>
      <c r="F18" s="151"/>
      <c r="G18" s="151"/>
      <c r="H18" s="152"/>
      <c r="I18" s="151"/>
      <c r="J18" s="151"/>
    </row>
    <row r="19" spans="1:10" ht="45" customHeight="1" x14ac:dyDescent="0.25">
      <c r="A19" s="147">
        <v>6</v>
      </c>
      <c r="B19" s="159" t="s">
        <v>533</v>
      </c>
      <c r="C19" s="159"/>
      <c r="D19" s="159"/>
      <c r="E19" s="159"/>
      <c r="F19" s="159"/>
      <c r="G19" s="159"/>
      <c r="H19" s="159"/>
      <c r="I19" s="159"/>
      <c r="J19" s="159"/>
    </row>
    <row r="20" spans="1:10" x14ac:dyDescent="0.25">
      <c r="A20" s="147"/>
      <c r="B20" s="149"/>
      <c r="C20" s="149"/>
      <c r="D20" s="149"/>
      <c r="E20" s="149"/>
      <c r="F20" s="149"/>
      <c r="G20" s="149"/>
      <c r="H20" s="149"/>
      <c r="I20" s="149"/>
      <c r="J20" s="149"/>
    </row>
    <row r="21" spans="1:10" ht="30.75" customHeight="1" x14ac:dyDescent="0.25">
      <c r="A21" s="150">
        <v>7</v>
      </c>
      <c r="B21" s="159" t="s">
        <v>534</v>
      </c>
      <c r="C21" s="159"/>
      <c r="D21" s="159"/>
      <c r="E21" s="159"/>
      <c r="F21" s="159"/>
      <c r="G21" s="159"/>
      <c r="H21" s="159"/>
      <c r="I21" s="159"/>
      <c r="J21" s="159"/>
    </row>
    <row r="23" spans="1:10" ht="27.75" customHeight="1" x14ac:dyDescent="0.25">
      <c r="A23" s="147">
        <v>8</v>
      </c>
      <c r="B23" s="159" t="s">
        <v>535</v>
      </c>
      <c r="C23" s="159"/>
      <c r="D23" s="159"/>
      <c r="E23" s="159"/>
      <c r="F23" s="159"/>
      <c r="G23" s="159"/>
      <c r="H23" s="159"/>
      <c r="I23" s="159"/>
      <c r="J23" s="159"/>
    </row>
    <row r="24" spans="1:10" ht="10.5" customHeight="1" x14ac:dyDescent="0.25"/>
    <row r="25" spans="1:10" ht="26.25" customHeight="1" x14ac:dyDescent="0.25">
      <c r="A25" s="147"/>
      <c r="B25" s="159"/>
      <c r="C25" s="159"/>
      <c r="D25" s="159"/>
      <c r="E25" s="159"/>
      <c r="F25" s="159"/>
      <c r="G25" s="159"/>
      <c r="H25" s="159"/>
      <c r="I25" s="159"/>
      <c r="J25" s="159"/>
    </row>
    <row r="26" spans="1:10" ht="14.25" customHeight="1" x14ac:dyDescent="0.25"/>
    <row r="27" spans="1:10" ht="39.75" customHeight="1" x14ac:dyDescent="0.25">
      <c r="A27" s="147"/>
      <c r="B27" s="159"/>
      <c r="C27" s="159"/>
      <c r="D27" s="159"/>
      <c r="E27" s="159"/>
      <c r="F27" s="159"/>
      <c r="G27" s="159"/>
      <c r="H27" s="159"/>
      <c r="I27" s="159"/>
      <c r="J27" s="159"/>
    </row>
    <row r="29" spans="1:10" x14ac:dyDescent="0.25">
      <c r="A29" s="147"/>
      <c r="B29" s="159"/>
      <c r="C29" s="159"/>
      <c r="D29" s="159"/>
      <c r="E29" s="159"/>
      <c r="F29" s="159"/>
      <c r="G29" s="159"/>
      <c r="H29" s="159"/>
      <c r="I29" s="159"/>
      <c r="J29" s="159"/>
    </row>
    <row r="31" spans="1:10" ht="30" customHeight="1" x14ac:dyDescent="0.25">
      <c r="A31" s="147"/>
      <c r="B31" s="159"/>
      <c r="C31" s="159"/>
      <c r="D31" s="159"/>
      <c r="E31" s="159"/>
      <c r="F31" s="159"/>
      <c r="G31" s="159"/>
      <c r="H31" s="159"/>
      <c r="I31" s="159"/>
      <c r="J31" s="159"/>
    </row>
    <row r="33" spans="1:10" ht="35.25" customHeight="1" x14ac:dyDescent="0.25">
      <c r="A33" s="147"/>
      <c r="B33" s="158"/>
      <c r="C33" s="158"/>
      <c r="D33" s="158"/>
      <c r="E33" s="158"/>
      <c r="F33" s="158"/>
      <c r="G33" s="158"/>
      <c r="H33" s="158"/>
      <c r="I33" s="158"/>
      <c r="J33" s="158"/>
    </row>
    <row r="35" spans="1:10" x14ac:dyDescent="0.25">
      <c r="A35" s="147"/>
      <c r="B35" s="157"/>
      <c r="C35" s="157"/>
      <c r="D35" s="157"/>
      <c r="E35" s="157"/>
      <c r="F35" s="157"/>
      <c r="G35" s="157"/>
      <c r="H35" s="157"/>
      <c r="I35" s="157"/>
      <c r="J35" s="157"/>
    </row>
  </sheetData>
  <mergeCells count="16">
    <mergeCell ref="B35:J35"/>
    <mergeCell ref="B33:J33"/>
    <mergeCell ref="B13:J13"/>
    <mergeCell ref="A1:J2"/>
    <mergeCell ref="A4:J4"/>
    <mergeCell ref="B9:J9"/>
    <mergeCell ref="B11:J11"/>
    <mergeCell ref="B27:J27"/>
    <mergeCell ref="B29:J29"/>
    <mergeCell ref="B31:J31"/>
    <mergeCell ref="B15:J15"/>
    <mergeCell ref="B17:J17"/>
    <mergeCell ref="B19:J19"/>
    <mergeCell ref="B21:J21"/>
    <mergeCell ref="B23:J23"/>
    <mergeCell ref="B25:J25"/>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47"/>
  <sheetViews>
    <sheetView zoomScale="120" zoomScaleNormal="120" workbookViewId="0">
      <selection activeCell="D86" sqref="D86"/>
    </sheetView>
  </sheetViews>
  <sheetFormatPr defaultColWidth="8.6640625" defaultRowHeight="14.4" x14ac:dyDescent="0.3"/>
  <cols>
    <col min="2" max="2" width="48.6640625" customWidth="1"/>
    <col min="3" max="3" width="29.6640625" customWidth="1"/>
    <col min="4" max="4" width="12.6640625" customWidth="1"/>
    <col min="5" max="5" width="14" customWidth="1"/>
    <col min="6" max="6" width="13.44140625" customWidth="1"/>
    <col min="7" max="7" width="15.33203125" customWidth="1"/>
  </cols>
  <sheetData>
    <row r="1" spans="1:7" x14ac:dyDescent="0.3">
      <c r="A1" s="178" t="s">
        <v>178</v>
      </c>
      <c r="B1" s="178"/>
      <c r="C1" s="178"/>
      <c r="D1" s="178"/>
      <c r="E1" s="178"/>
      <c r="F1" s="178"/>
      <c r="G1" s="178"/>
    </row>
    <row r="2" spans="1:7" ht="19.5" customHeight="1" x14ac:dyDescent="0.3">
      <c r="A2" s="46" t="s">
        <v>1</v>
      </c>
      <c r="B2" s="46" t="s">
        <v>89</v>
      </c>
      <c r="C2" s="46" t="s">
        <v>72</v>
      </c>
      <c r="D2" s="46" t="s">
        <v>90</v>
      </c>
      <c r="E2" s="36" t="s">
        <v>62</v>
      </c>
      <c r="F2" s="36" t="s">
        <v>112</v>
      </c>
      <c r="G2" s="36" t="s">
        <v>74</v>
      </c>
    </row>
    <row r="3" spans="1:7" ht="19.5" customHeight="1" x14ac:dyDescent="0.3">
      <c r="A3" s="3">
        <f t="shared" ref="A3:A34" si="0">ROW()-2</f>
        <v>1</v>
      </c>
      <c r="B3" s="37" t="s">
        <v>179</v>
      </c>
      <c r="C3" s="3" t="s">
        <v>180</v>
      </c>
      <c r="D3" s="133">
        <v>11.56</v>
      </c>
      <c r="E3" s="47">
        <v>4</v>
      </c>
      <c r="F3" s="7"/>
      <c r="G3" s="48">
        <f t="shared" ref="G3:G34" si="1">TRUNC((D3*E3),2)</f>
        <v>46.24</v>
      </c>
    </row>
    <row r="4" spans="1:7" ht="19.5" customHeight="1" x14ac:dyDescent="0.3">
      <c r="A4" s="3">
        <f t="shared" si="0"/>
        <v>2</v>
      </c>
      <c r="B4" s="37" t="s">
        <v>181</v>
      </c>
      <c r="C4" s="3" t="s">
        <v>182</v>
      </c>
      <c r="D4" s="133">
        <v>9.7100000000000009</v>
      </c>
      <c r="E4" s="7"/>
      <c r="F4" s="47" t="s">
        <v>115</v>
      </c>
      <c r="G4" s="48">
        <f t="shared" si="1"/>
        <v>0</v>
      </c>
    </row>
    <row r="5" spans="1:7" ht="19.5" customHeight="1" x14ac:dyDescent="0.3">
      <c r="A5" s="3">
        <f t="shared" si="0"/>
        <v>3</v>
      </c>
      <c r="B5" s="37" t="s">
        <v>183</v>
      </c>
      <c r="C5" s="3" t="s">
        <v>182</v>
      </c>
      <c r="D5" s="133">
        <v>28.82</v>
      </c>
      <c r="E5" s="47">
        <v>2</v>
      </c>
      <c r="F5" s="7"/>
      <c r="G5" s="48">
        <f t="shared" si="1"/>
        <v>57.64</v>
      </c>
    </row>
    <row r="6" spans="1:7" ht="19.5" customHeight="1" x14ac:dyDescent="0.3">
      <c r="A6" s="3">
        <f t="shared" si="0"/>
        <v>4</v>
      </c>
      <c r="B6" s="37" t="s">
        <v>184</v>
      </c>
      <c r="C6" s="3" t="s">
        <v>182</v>
      </c>
      <c r="D6" s="133">
        <v>46.23</v>
      </c>
      <c r="E6" s="47">
        <v>1</v>
      </c>
      <c r="F6" s="7"/>
      <c r="G6" s="48">
        <f t="shared" si="1"/>
        <v>46.23</v>
      </c>
    </row>
    <row r="7" spans="1:7" ht="19.5" customHeight="1" x14ac:dyDescent="0.3">
      <c r="A7" s="3">
        <f t="shared" si="0"/>
        <v>5</v>
      </c>
      <c r="B7" s="37" t="s">
        <v>185</v>
      </c>
      <c r="C7" s="3" t="s">
        <v>186</v>
      </c>
      <c r="D7" s="133">
        <v>9.7799999999999994</v>
      </c>
      <c r="E7" s="7"/>
      <c r="F7" s="47" t="s">
        <v>115</v>
      </c>
      <c r="G7" s="48">
        <f t="shared" si="1"/>
        <v>0</v>
      </c>
    </row>
    <row r="8" spans="1:7" ht="19.5" customHeight="1" x14ac:dyDescent="0.3">
      <c r="A8" s="3">
        <f t="shared" si="0"/>
        <v>6</v>
      </c>
      <c r="B8" s="37" t="s">
        <v>187</v>
      </c>
      <c r="C8" s="3" t="s">
        <v>96</v>
      </c>
      <c r="D8" s="133">
        <v>21.32</v>
      </c>
      <c r="E8" s="47">
        <v>1</v>
      </c>
      <c r="F8" s="7"/>
      <c r="G8" s="48">
        <f t="shared" si="1"/>
        <v>21.32</v>
      </c>
    </row>
    <row r="9" spans="1:7" ht="19.5" customHeight="1" x14ac:dyDescent="0.3">
      <c r="A9" s="3">
        <f t="shared" si="0"/>
        <v>7</v>
      </c>
      <c r="B9" s="37" t="s">
        <v>188</v>
      </c>
      <c r="C9" s="3" t="s">
        <v>96</v>
      </c>
      <c r="D9" s="133">
        <v>45.5</v>
      </c>
      <c r="E9" s="7"/>
      <c r="F9" s="47" t="s">
        <v>115</v>
      </c>
      <c r="G9" s="48">
        <f t="shared" si="1"/>
        <v>0</v>
      </c>
    </row>
    <row r="10" spans="1:7" ht="19.5" customHeight="1" x14ac:dyDescent="0.3">
      <c r="A10" s="3">
        <f t="shared" si="0"/>
        <v>8</v>
      </c>
      <c r="B10" s="37" t="s">
        <v>189</v>
      </c>
      <c r="C10" s="3" t="s">
        <v>96</v>
      </c>
      <c r="D10" s="133">
        <v>22.32</v>
      </c>
      <c r="E10" s="7"/>
      <c r="F10" s="47" t="s">
        <v>115</v>
      </c>
      <c r="G10" s="48">
        <f t="shared" si="1"/>
        <v>0</v>
      </c>
    </row>
    <row r="11" spans="1:7" ht="19.5" customHeight="1" x14ac:dyDescent="0.3">
      <c r="A11" s="3">
        <f t="shared" si="0"/>
        <v>9</v>
      </c>
      <c r="B11" s="37" t="s">
        <v>190</v>
      </c>
      <c r="C11" s="3" t="s">
        <v>93</v>
      </c>
      <c r="D11" s="133">
        <v>50.02</v>
      </c>
      <c r="E11" s="7"/>
      <c r="F11" s="47" t="s">
        <v>115</v>
      </c>
      <c r="G11" s="48">
        <f t="shared" si="1"/>
        <v>0</v>
      </c>
    </row>
    <row r="12" spans="1:7" ht="19.5" customHeight="1" x14ac:dyDescent="0.3">
      <c r="A12" s="3">
        <f t="shared" si="0"/>
        <v>10</v>
      </c>
      <c r="B12" s="37" t="s">
        <v>191</v>
      </c>
      <c r="C12" s="3" t="s">
        <v>93</v>
      </c>
      <c r="D12" s="133">
        <v>57.32</v>
      </c>
      <c r="E12" s="7"/>
      <c r="F12" s="47" t="s">
        <v>115</v>
      </c>
      <c r="G12" s="48">
        <f t="shared" si="1"/>
        <v>0</v>
      </c>
    </row>
    <row r="13" spans="1:7" ht="19.5" customHeight="1" x14ac:dyDescent="0.3">
      <c r="A13" s="3">
        <f t="shared" si="0"/>
        <v>11</v>
      </c>
      <c r="B13" s="37" t="s">
        <v>192</v>
      </c>
      <c r="C13" s="3" t="s">
        <v>96</v>
      </c>
      <c r="D13" s="133">
        <v>27.61</v>
      </c>
      <c r="E13" s="7"/>
      <c r="F13" s="47" t="s">
        <v>115</v>
      </c>
      <c r="G13" s="48">
        <f t="shared" si="1"/>
        <v>0</v>
      </c>
    </row>
    <row r="14" spans="1:7" ht="19.5" customHeight="1" x14ac:dyDescent="0.3">
      <c r="A14" s="3">
        <f t="shared" si="0"/>
        <v>12</v>
      </c>
      <c r="B14" s="37" t="s">
        <v>193</v>
      </c>
      <c r="C14" s="3" t="s">
        <v>194</v>
      </c>
      <c r="D14" s="133">
        <v>2.0499999999999998</v>
      </c>
      <c r="E14" s="7"/>
      <c r="F14" s="47" t="s">
        <v>115</v>
      </c>
      <c r="G14" s="48">
        <f t="shared" si="1"/>
        <v>0</v>
      </c>
    </row>
    <row r="15" spans="1:7" ht="19.5" customHeight="1" x14ac:dyDescent="0.3">
      <c r="A15" s="3">
        <f t="shared" si="0"/>
        <v>13</v>
      </c>
      <c r="B15" s="37" t="s">
        <v>195</v>
      </c>
      <c r="C15" s="3" t="s">
        <v>96</v>
      </c>
      <c r="D15" s="133">
        <v>9.02</v>
      </c>
      <c r="E15" s="47">
        <v>1</v>
      </c>
      <c r="F15" s="7"/>
      <c r="G15" s="48">
        <f t="shared" si="1"/>
        <v>9.02</v>
      </c>
    </row>
    <row r="16" spans="1:7" ht="19.5" customHeight="1" x14ac:dyDescent="0.3">
      <c r="A16" s="3">
        <f t="shared" si="0"/>
        <v>14</v>
      </c>
      <c r="B16" s="37" t="s">
        <v>196</v>
      </c>
      <c r="C16" s="3" t="s">
        <v>96</v>
      </c>
      <c r="D16" s="133">
        <v>10.050000000000001</v>
      </c>
      <c r="E16" s="47">
        <v>1</v>
      </c>
      <c r="F16" s="7"/>
      <c r="G16" s="48">
        <f t="shared" si="1"/>
        <v>10.050000000000001</v>
      </c>
    </row>
    <row r="17" spans="1:7" ht="19.5" customHeight="1" x14ac:dyDescent="0.3">
      <c r="A17" s="3">
        <f t="shared" si="0"/>
        <v>15</v>
      </c>
      <c r="B17" s="37" t="s">
        <v>197</v>
      </c>
      <c r="C17" s="3" t="s">
        <v>180</v>
      </c>
      <c r="D17" s="133">
        <v>13.92</v>
      </c>
      <c r="E17" s="47">
        <v>4</v>
      </c>
      <c r="F17" s="7"/>
      <c r="G17" s="48">
        <f t="shared" si="1"/>
        <v>55.68</v>
      </c>
    </row>
    <row r="18" spans="1:7" ht="19.5" customHeight="1" x14ac:dyDescent="0.3">
      <c r="A18" s="3">
        <f t="shared" si="0"/>
        <v>16</v>
      </c>
      <c r="B18" s="37" t="s">
        <v>198</v>
      </c>
      <c r="C18" s="3" t="s">
        <v>93</v>
      </c>
      <c r="D18" s="133">
        <v>11.38</v>
      </c>
      <c r="E18" s="47">
        <v>12</v>
      </c>
      <c r="F18" s="7"/>
      <c r="G18" s="48">
        <f t="shared" si="1"/>
        <v>136.56</v>
      </c>
    </row>
    <row r="19" spans="1:7" ht="19.5" customHeight="1" x14ac:dyDescent="0.3">
      <c r="A19" s="3">
        <f t="shared" si="0"/>
        <v>17</v>
      </c>
      <c r="B19" s="37" t="s">
        <v>199</v>
      </c>
      <c r="C19" s="3" t="s">
        <v>96</v>
      </c>
      <c r="D19" s="133">
        <v>24.71</v>
      </c>
      <c r="E19" s="47">
        <v>2</v>
      </c>
      <c r="F19" s="7"/>
      <c r="G19" s="48">
        <f t="shared" si="1"/>
        <v>49.42</v>
      </c>
    </row>
    <row r="20" spans="1:7" ht="19.5" customHeight="1" x14ac:dyDescent="0.3">
      <c r="A20" s="3">
        <f t="shared" si="0"/>
        <v>18</v>
      </c>
      <c r="B20" s="49" t="s">
        <v>200</v>
      </c>
      <c r="C20" s="3" t="s">
        <v>96</v>
      </c>
      <c r="D20" s="133">
        <v>26.21</v>
      </c>
      <c r="E20" s="47">
        <v>2</v>
      </c>
      <c r="F20" s="7"/>
      <c r="G20" s="48">
        <f t="shared" si="1"/>
        <v>52.42</v>
      </c>
    </row>
    <row r="21" spans="1:7" ht="19.5" customHeight="1" x14ac:dyDescent="0.3">
      <c r="A21" s="3">
        <f t="shared" si="0"/>
        <v>19</v>
      </c>
      <c r="B21" s="50" t="s">
        <v>201</v>
      </c>
      <c r="C21" s="3" t="s">
        <v>96</v>
      </c>
      <c r="D21" s="133">
        <v>36.65</v>
      </c>
      <c r="E21" s="7"/>
      <c r="F21" s="47" t="s">
        <v>115</v>
      </c>
      <c r="G21" s="48">
        <f t="shared" si="1"/>
        <v>0</v>
      </c>
    </row>
    <row r="22" spans="1:7" ht="19.5" customHeight="1" x14ac:dyDescent="0.3">
      <c r="A22" s="3">
        <f t="shared" si="0"/>
        <v>20</v>
      </c>
      <c r="B22" s="37" t="s">
        <v>202</v>
      </c>
      <c r="C22" s="3" t="s">
        <v>96</v>
      </c>
      <c r="D22" s="133">
        <v>14.62</v>
      </c>
      <c r="E22" s="7"/>
      <c r="F22" s="47" t="s">
        <v>115</v>
      </c>
      <c r="G22" s="48">
        <f t="shared" si="1"/>
        <v>0</v>
      </c>
    </row>
    <row r="23" spans="1:7" ht="19.5" customHeight="1" x14ac:dyDescent="0.3">
      <c r="A23" s="3">
        <f t="shared" si="0"/>
        <v>21</v>
      </c>
      <c r="B23" s="37" t="s">
        <v>203</v>
      </c>
      <c r="C23" s="3" t="s">
        <v>96</v>
      </c>
      <c r="D23" s="133">
        <v>2.82</v>
      </c>
      <c r="E23" s="47">
        <v>2</v>
      </c>
      <c r="F23" s="7"/>
      <c r="G23" s="48">
        <f t="shared" si="1"/>
        <v>5.64</v>
      </c>
    </row>
    <row r="24" spans="1:7" ht="19.5" customHeight="1" x14ac:dyDescent="0.3">
      <c r="A24" s="3">
        <f t="shared" si="0"/>
        <v>22</v>
      </c>
      <c r="B24" s="37" t="s">
        <v>204</v>
      </c>
      <c r="C24" s="3" t="s">
        <v>96</v>
      </c>
      <c r="D24" s="133">
        <v>6.37</v>
      </c>
      <c r="E24" s="47">
        <v>2</v>
      </c>
      <c r="F24" s="7"/>
      <c r="G24" s="48">
        <f t="shared" si="1"/>
        <v>12.74</v>
      </c>
    </row>
    <row r="25" spans="1:7" ht="19.5" customHeight="1" x14ac:dyDescent="0.3">
      <c r="A25" s="3">
        <f t="shared" si="0"/>
        <v>23</v>
      </c>
      <c r="B25" s="37" t="s">
        <v>205</v>
      </c>
      <c r="C25" s="3" t="s">
        <v>96</v>
      </c>
      <c r="D25" s="133">
        <v>9.33</v>
      </c>
      <c r="E25" s="47">
        <v>2</v>
      </c>
      <c r="F25" s="7"/>
      <c r="G25" s="48">
        <f t="shared" si="1"/>
        <v>18.66</v>
      </c>
    </row>
    <row r="26" spans="1:7" ht="19.5" customHeight="1" x14ac:dyDescent="0.3">
      <c r="A26" s="3">
        <f t="shared" si="0"/>
        <v>24</v>
      </c>
      <c r="B26" s="37" t="s">
        <v>206</v>
      </c>
      <c r="C26" s="3" t="s">
        <v>96</v>
      </c>
      <c r="D26" s="133">
        <v>8.08</v>
      </c>
      <c r="E26" s="47">
        <v>2</v>
      </c>
      <c r="F26" s="7"/>
      <c r="G26" s="48">
        <f t="shared" si="1"/>
        <v>16.16</v>
      </c>
    </row>
    <row r="27" spans="1:7" ht="19.5" customHeight="1" x14ac:dyDescent="0.3">
      <c r="A27" s="3">
        <f t="shared" si="0"/>
        <v>25</v>
      </c>
      <c r="B27" s="37" t="s">
        <v>207</v>
      </c>
      <c r="C27" s="3" t="s">
        <v>96</v>
      </c>
      <c r="D27" s="133">
        <v>1.43</v>
      </c>
      <c r="E27" s="51">
        <v>3</v>
      </c>
      <c r="F27" s="7"/>
      <c r="G27" s="48">
        <f t="shared" si="1"/>
        <v>4.29</v>
      </c>
    </row>
    <row r="28" spans="1:7" ht="19.5" customHeight="1" x14ac:dyDescent="0.3">
      <c r="A28" s="3">
        <f t="shared" si="0"/>
        <v>26</v>
      </c>
      <c r="B28" s="37" t="s">
        <v>208</v>
      </c>
      <c r="C28" s="3" t="s">
        <v>96</v>
      </c>
      <c r="D28" s="133">
        <v>27.42</v>
      </c>
      <c r="E28" s="47">
        <v>1</v>
      </c>
      <c r="F28" s="7"/>
      <c r="G28" s="48">
        <f t="shared" si="1"/>
        <v>27.42</v>
      </c>
    </row>
    <row r="29" spans="1:7" ht="19.5" customHeight="1" x14ac:dyDescent="0.3">
      <c r="A29" s="3">
        <f t="shared" si="0"/>
        <v>27</v>
      </c>
      <c r="B29" s="37" t="s">
        <v>209</v>
      </c>
      <c r="C29" s="3" t="s">
        <v>96</v>
      </c>
      <c r="D29" s="133">
        <v>66.930000000000007</v>
      </c>
      <c r="E29" s="47">
        <v>1</v>
      </c>
      <c r="F29" s="7"/>
      <c r="G29" s="48">
        <f t="shared" si="1"/>
        <v>66.930000000000007</v>
      </c>
    </row>
    <row r="30" spans="1:7" ht="19.5" customHeight="1" x14ac:dyDescent="0.3">
      <c r="A30" s="3">
        <f t="shared" si="0"/>
        <v>28</v>
      </c>
      <c r="B30" s="37" t="s">
        <v>210</v>
      </c>
      <c r="C30" s="3" t="s">
        <v>133</v>
      </c>
      <c r="D30" s="133">
        <v>2.61</v>
      </c>
      <c r="E30" s="7"/>
      <c r="F30" s="47" t="s">
        <v>115</v>
      </c>
      <c r="G30" s="48">
        <f t="shared" si="1"/>
        <v>0</v>
      </c>
    </row>
    <row r="31" spans="1:7" ht="19.5" customHeight="1" x14ac:dyDescent="0.3">
      <c r="A31" s="3">
        <f t="shared" si="0"/>
        <v>29</v>
      </c>
      <c r="B31" s="52" t="s">
        <v>211</v>
      </c>
      <c r="C31" s="3" t="s">
        <v>96</v>
      </c>
      <c r="D31" s="133">
        <v>3.43</v>
      </c>
      <c r="E31" s="47">
        <v>6</v>
      </c>
      <c r="F31" s="7"/>
      <c r="G31" s="48">
        <f t="shared" si="1"/>
        <v>20.58</v>
      </c>
    </row>
    <row r="32" spans="1:7" ht="19.5" customHeight="1" x14ac:dyDescent="0.3">
      <c r="A32" s="3">
        <f t="shared" si="0"/>
        <v>30</v>
      </c>
      <c r="B32" s="37" t="s">
        <v>212</v>
      </c>
      <c r="C32" s="3" t="s">
        <v>180</v>
      </c>
      <c r="D32" s="133">
        <v>87.5</v>
      </c>
      <c r="E32" s="7"/>
      <c r="F32" s="47" t="s">
        <v>115</v>
      </c>
      <c r="G32" s="48">
        <f t="shared" si="1"/>
        <v>0</v>
      </c>
    </row>
    <row r="33" spans="1:7" ht="19.5" customHeight="1" x14ac:dyDescent="0.3">
      <c r="A33" s="3">
        <f t="shared" si="0"/>
        <v>31</v>
      </c>
      <c r="B33" s="37" t="s">
        <v>213</v>
      </c>
      <c r="C33" s="3" t="s">
        <v>93</v>
      </c>
      <c r="D33" s="133">
        <v>13.29</v>
      </c>
      <c r="E33" s="47">
        <v>6</v>
      </c>
      <c r="F33" s="7"/>
      <c r="G33" s="48">
        <f t="shared" si="1"/>
        <v>79.739999999999995</v>
      </c>
    </row>
    <row r="34" spans="1:7" ht="19.5" customHeight="1" x14ac:dyDescent="0.3">
      <c r="A34" s="3">
        <f t="shared" si="0"/>
        <v>32</v>
      </c>
      <c r="B34" s="37" t="s">
        <v>214</v>
      </c>
      <c r="C34" s="3" t="s">
        <v>96</v>
      </c>
      <c r="D34" s="133">
        <v>36.17</v>
      </c>
      <c r="E34" s="47">
        <v>1</v>
      </c>
      <c r="F34" s="7"/>
      <c r="G34" s="48">
        <f t="shared" si="1"/>
        <v>36.17</v>
      </c>
    </row>
    <row r="35" spans="1:7" ht="19.5" customHeight="1" x14ac:dyDescent="0.3">
      <c r="A35" s="3">
        <f t="shared" ref="A35:A66" si="2">ROW()-2</f>
        <v>33</v>
      </c>
      <c r="B35" s="37" t="s">
        <v>215</v>
      </c>
      <c r="C35" s="3" t="s">
        <v>93</v>
      </c>
      <c r="D35" s="133">
        <v>2.17</v>
      </c>
      <c r="E35" s="7"/>
      <c r="F35" s="47" t="s">
        <v>115</v>
      </c>
      <c r="G35" s="48">
        <f t="shared" ref="G35:G66" si="3">TRUNC((D35*E35),2)</f>
        <v>0</v>
      </c>
    </row>
    <row r="36" spans="1:7" ht="19.5" customHeight="1" x14ac:dyDescent="0.3">
      <c r="A36" s="3">
        <f t="shared" si="2"/>
        <v>34</v>
      </c>
      <c r="B36" s="37" t="s">
        <v>216</v>
      </c>
      <c r="C36" s="3" t="s">
        <v>93</v>
      </c>
      <c r="D36" s="133">
        <v>2.3199999999999998</v>
      </c>
      <c r="E36" s="47">
        <v>6</v>
      </c>
      <c r="F36" s="7"/>
      <c r="G36" s="48">
        <f t="shared" si="3"/>
        <v>13.92</v>
      </c>
    </row>
    <row r="37" spans="1:7" ht="19.5" customHeight="1" x14ac:dyDescent="0.3">
      <c r="A37" s="3">
        <f t="shared" si="2"/>
        <v>35</v>
      </c>
      <c r="B37" s="37" t="s">
        <v>217</v>
      </c>
      <c r="C37" s="3" t="s">
        <v>180</v>
      </c>
      <c r="D37" s="133">
        <v>66.540000000000006</v>
      </c>
      <c r="E37" s="7"/>
      <c r="F37" s="47" t="s">
        <v>115</v>
      </c>
      <c r="G37" s="48">
        <f t="shared" si="3"/>
        <v>0</v>
      </c>
    </row>
    <row r="38" spans="1:7" ht="19.5" customHeight="1" x14ac:dyDescent="0.3">
      <c r="A38" s="3">
        <f t="shared" si="2"/>
        <v>36</v>
      </c>
      <c r="B38" s="37" t="s">
        <v>218</v>
      </c>
      <c r="C38" s="3" t="s">
        <v>93</v>
      </c>
      <c r="D38" s="133">
        <v>7.83</v>
      </c>
      <c r="E38" s="7"/>
      <c r="F38" s="47" t="s">
        <v>115</v>
      </c>
      <c r="G38" s="48">
        <f t="shared" si="3"/>
        <v>0</v>
      </c>
    </row>
    <row r="39" spans="1:7" ht="19.5" customHeight="1" x14ac:dyDescent="0.3">
      <c r="A39" s="3">
        <f t="shared" si="2"/>
        <v>37</v>
      </c>
      <c r="B39" s="37" t="s">
        <v>219</v>
      </c>
      <c r="C39" s="3" t="s">
        <v>93</v>
      </c>
      <c r="D39" s="133">
        <v>2.2000000000000002</v>
      </c>
      <c r="E39" s="47">
        <v>6</v>
      </c>
      <c r="F39" s="7"/>
      <c r="G39" s="48">
        <f t="shared" si="3"/>
        <v>13.2</v>
      </c>
    </row>
    <row r="40" spans="1:7" ht="19.5" customHeight="1" x14ac:dyDescent="0.3">
      <c r="A40" s="3">
        <f t="shared" si="2"/>
        <v>38</v>
      </c>
      <c r="B40" s="37" t="s">
        <v>220</v>
      </c>
      <c r="C40" s="3" t="s">
        <v>93</v>
      </c>
      <c r="D40" s="133">
        <v>4.13</v>
      </c>
      <c r="E40" s="47">
        <v>6</v>
      </c>
      <c r="F40" s="7"/>
      <c r="G40" s="48">
        <f t="shared" si="3"/>
        <v>24.78</v>
      </c>
    </row>
    <row r="41" spans="1:7" ht="19.5" customHeight="1" x14ac:dyDescent="0.3">
      <c r="A41" s="3">
        <f t="shared" si="2"/>
        <v>39</v>
      </c>
      <c r="B41" s="37" t="s">
        <v>221</v>
      </c>
      <c r="C41" s="3" t="s">
        <v>96</v>
      </c>
      <c r="D41" s="133">
        <v>56.13</v>
      </c>
      <c r="E41" s="7"/>
      <c r="F41" s="47" t="s">
        <v>115</v>
      </c>
      <c r="G41" s="48">
        <f t="shared" si="3"/>
        <v>0</v>
      </c>
    </row>
    <row r="42" spans="1:7" ht="19.5" customHeight="1" x14ac:dyDescent="0.3">
      <c r="A42" s="3">
        <f t="shared" si="2"/>
        <v>40</v>
      </c>
      <c r="B42" s="37" t="s">
        <v>222</v>
      </c>
      <c r="C42" s="3" t="s">
        <v>96</v>
      </c>
      <c r="D42" s="133">
        <v>22.81</v>
      </c>
      <c r="E42" s="47">
        <v>3</v>
      </c>
      <c r="F42" s="7"/>
      <c r="G42" s="48">
        <f t="shared" si="3"/>
        <v>68.430000000000007</v>
      </c>
    </row>
    <row r="43" spans="1:7" ht="19.5" customHeight="1" x14ac:dyDescent="0.3">
      <c r="A43" s="3">
        <f t="shared" si="2"/>
        <v>41</v>
      </c>
      <c r="B43" s="37" t="s">
        <v>223</v>
      </c>
      <c r="C43" s="3" t="s">
        <v>96</v>
      </c>
      <c r="D43" s="133">
        <v>26.86</v>
      </c>
      <c r="E43" s="47">
        <v>1</v>
      </c>
      <c r="F43" s="7"/>
      <c r="G43" s="48">
        <f t="shared" si="3"/>
        <v>26.86</v>
      </c>
    </row>
    <row r="44" spans="1:7" ht="19.5" customHeight="1" x14ac:dyDescent="0.3">
      <c r="A44" s="3">
        <f t="shared" si="2"/>
        <v>42</v>
      </c>
      <c r="B44" s="37" t="s">
        <v>224</v>
      </c>
      <c r="C44" s="3" t="s">
        <v>96</v>
      </c>
      <c r="D44" s="133">
        <v>47.27</v>
      </c>
      <c r="E44" s="47">
        <v>1</v>
      </c>
      <c r="F44" s="7"/>
      <c r="G44" s="48">
        <f t="shared" si="3"/>
        <v>47.27</v>
      </c>
    </row>
    <row r="45" spans="1:7" ht="19.5" customHeight="1" x14ac:dyDescent="0.3">
      <c r="A45" s="3">
        <f t="shared" si="2"/>
        <v>43</v>
      </c>
      <c r="B45" s="37" t="s">
        <v>225</v>
      </c>
      <c r="C45" s="3" t="s">
        <v>93</v>
      </c>
      <c r="D45" s="133">
        <v>3.38</v>
      </c>
      <c r="E45" s="47">
        <v>3</v>
      </c>
      <c r="F45" s="7"/>
      <c r="G45" s="48">
        <f t="shared" si="3"/>
        <v>10.14</v>
      </c>
    </row>
    <row r="46" spans="1:7" ht="19.5" customHeight="1" x14ac:dyDescent="0.3">
      <c r="A46" s="3">
        <f t="shared" si="2"/>
        <v>44</v>
      </c>
      <c r="B46" s="37" t="s">
        <v>226</v>
      </c>
      <c r="C46" s="3" t="s">
        <v>227</v>
      </c>
      <c r="D46" s="133">
        <v>7.16</v>
      </c>
      <c r="E46" s="47">
        <v>2</v>
      </c>
      <c r="F46" s="7"/>
      <c r="G46" s="48">
        <f t="shared" si="3"/>
        <v>14.32</v>
      </c>
    </row>
    <row r="47" spans="1:7" ht="19.5" customHeight="1" x14ac:dyDescent="0.3">
      <c r="A47" s="3">
        <f t="shared" si="2"/>
        <v>45</v>
      </c>
      <c r="B47" s="37" t="s">
        <v>228</v>
      </c>
      <c r="C47" s="3" t="s">
        <v>227</v>
      </c>
      <c r="D47" s="133">
        <v>8.0500000000000007</v>
      </c>
      <c r="E47" s="47">
        <v>2</v>
      </c>
      <c r="F47" s="7"/>
      <c r="G47" s="48">
        <f t="shared" si="3"/>
        <v>16.100000000000001</v>
      </c>
    </row>
    <row r="48" spans="1:7" ht="19.5" customHeight="1" x14ac:dyDescent="0.3">
      <c r="A48" s="3">
        <f t="shared" si="2"/>
        <v>46</v>
      </c>
      <c r="B48" s="37" t="s">
        <v>229</v>
      </c>
      <c r="C48" s="3" t="s">
        <v>96</v>
      </c>
      <c r="D48" s="133">
        <v>174.03</v>
      </c>
      <c r="E48" s="47"/>
      <c r="F48" s="7"/>
      <c r="G48" s="48">
        <f t="shared" si="3"/>
        <v>0</v>
      </c>
    </row>
    <row r="49" spans="1:7" ht="19.5" customHeight="1" x14ac:dyDescent="0.3">
      <c r="A49" s="3">
        <f t="shared" si="2"/>
        <v>47</v>
      </c>
      <c r="B49" s="53" t="s">
        <v>230</v>
      </c>
      <c r="C49" s="3" t="s">
        <v>96</v>
      </c>
      <c r="D49" s="133">
        <v>107.75</v>
      </c>
      <c r="E49" s="47">
        <v>1</v>
      </c>
      <c r="F49" s="7"/>
      <c r="G49" s="48">
        <f t="shared" si="3"/>
        <v>107.75</v>
      </c>
    </row>
    <row r="50" spans="1:7" ht="19.5" customHeight="1" x14ac:dyDescent="0.3">
      <c r="A50" s="3">
        <f t="shared" si="2"/>
        <v>48</v>
      </c>
      <c r="B50" s="54" t="s">
        <v>231</v>
      </c>
      <c r="C50" s="3" t="s">
        <v>96</v>
      </c>
      <c r="D50" s="133">
        <v>54.24</v>
      </c>
      <c r="E50" s="47">
        <v>1</v>
      </c>
      <c r="F50" s="7"/>
      <c r="G50" s="48">
        <f t="shared" si="3"/>
        <v>54.24</v>
      </c>
    </row>
    <row r="51" spans="1:7" ht="19.5" customHeight="1" x14ac:dyDescent="0.3">
      <c r="A51" s="3">
        <f t="shared" si="2"/>
        <v>49</v>
      </c>
      <c r="B51" s="54" t="s">
        <v>232</v>
      </c>
      <c r="C51" s="3" t="s">
        <v>96</v>
      </c>
      <c r="D51" s="133">
        <v>51.28</v>
      </c>
      <c r="E51" s="47">
        <v>1</v>
      </c>
      <c r="F51" s="7"/>
      <c r="G51" s="48">
        <f t="shared" si="3"/>
        <v>51.28</v>
      </c>
    </row>
    <row r="52" spans="1:7" ht="19.5" customHeight="1" x14ac:dyDescent="0.3">
      <c r="A52" s="3">
        <f t="shared" si="2"/>
        <v>50</v>
      </c>
      <c r="B52" s="54" t="s">
        <v>233</v>
      </c>
      <c r="C52" s="3" t="s">
        <v>234</v>
      </c>
      <c r="D52" s="133">
        <v>31.63</v>
      </c>
      <c r="E52" s="7"/>
      <c r="F52" s="47" t="s">
        <v>115</v>
      </c>
      <c r="G52" s="48">
        <f t="shared" si="3"/>
        <v>0</v>
      </c>
    </row>
    <row r="53" spans="1:7" ht="19.5" customHeight="1" x14ac:dyDescent="0.3">
      <c r="A53" s="3">
        <f t="shared" si="2"/>
        <v>51</v>
      </c>
      <c r="B53" s="54" t="s">
        <v>235</v>
      </c>
      <c r="C53" s="3" t="s">
        <v>236</v>
      </c>
      <c r="D53" s="133">
        <v>36.42</v>
      </c>
      <c r="E53" s="7"/>
      <c r="F53" s="47" t="s">
        <v>115</v>
      </c>
      <c r="G53" s="48">
        <f t="shared" si="3"/>
        <v>0</v>
      </c>
    </row>
    <row r="54" spans="1:7" ht="19.5" customHeight="1" x14ac:dyDescent="0.3">
      <c r="A54" s="3">
        <f t="shared" si="2"/>
        <v>52</v>
      </c>
      <c r="B54" s="54" t="s">
        <v>237</v>
      </c>
      <c r="C54" s="3" t="s">
        <v>96</v>
      </c>
      <c r="D54" s="133">
        <v>10.73</v>
      </c>
      <c r="E54" s="47">
        <v>2</v>
      </c>
      <c r="F54" s="7"/>
      <c r="G54" s="48">
        <f t="shared" si="3"/>
        <v>21.46</v>
      </c>
    </row>
    <row r="55" spans="1:7" ht="19.5" customHeight="1" x14ac:dyDescent="0.3">
      <c r="A55" s="3">
        <f t="shared" si="2"/>
        <v>53</v>
      </c>
      <c r="B55" s="54" t="s">
        <v>238</v>
      </c>
      <c r="C55" s="3" t="s">
        <v>96</v>
      </c>
      <c r="D55" s="133">
        <v>8.2100000000000009</v>
      </c>
      <c r="E55" s="47">
        <v>6</v>
      </c>
      <c r="F55" s="7"/>
      <c r="G55" s="48">
        <f t="shared" si="3"/>
        <v>49.26</v>
      </c>
    </row>
    <row r="56" spans="1:7" ht="19.5" customHeight="1" x14ac:dyDescent="0.3">
      <c r="A56" s="3">
        <f t="shared" si="2"/>
        <v>54</v>
      </c>
      <c r="B56" s="54" t="s">
        <v>239</v>
      </c>
      <c r="C56" s="3" t="s">
        <v>96</v>
      </c>
      <c r="D56" s="133">
        <v>4.83</v>
      </c>
      <c r="E56" s="47">
        <v>6</v>
      </c>
      <c r="F56" s="7"/>
      <c r="G56" s="48">
        <f t="shared" si="3"/>
        <v>28.98</v>
      </c>
    </row>
    <row r="57" spans="1:7" ht="19.5" customHeight="1" x14ac:dyDescent="0.3">
      <c r="A57" s="3">
        <f t="shared" si="2"/>
        <v>55</v>
      </c>
      <c r="B57" s="54" t="s">
        <v>240</v>
      </c>
      <c r="C57" s="3" t="s">
        <v>241</v>
      </c>
      <c r="D57" s="133">
        <v>40.5</v>
      </c>
      <c r="E57" s="47"/>
      <c r="F57" s="7" t="s">
        <v>115</v>
      </c>
      <c r="G57" s="48">
        <f t="shared" si="3"/>
        <v>0</v>
      </c>
    </row>
    <row r="58" spans="1:7" ht="19.5" customHeight="1" x14ac:dyDescent="0.3">
      <c r="A58" s="3">
        <f t="shared" si="2"/>
        <v>56</v>
      </c>
      <c r="B58" s="54" t="s">
        <v>242</v>
      </c>
      <c r="C58" s="3" t="s">
        <v>133</v>
      </c>
      <c r="D58" s="133">
        <v>21.12</v>
      </c>
      <c r="E58" s="51">
        <v>2</v>
      </c>
      <c r="F58" s="7"/>
      <c r="G58" s="48">
        <f t="shared" si="3"/>
        <v>42.24</v>
      </c>
    </row>
    <row r="59" spans="1:7" ht="19.5" customHeight="1" x14ac:dyDescent="0.3">
      <c r="A59" s="3">
        <f t="shared" si="2"/>
        <v>57</v>
      </c>
      <c r="B59" s="54" t="s">
        <v>243</v>
      </c>
      <c r="C59" s="3" t="s">
        <v>244</v>
      </c>
      <c r="D59" s="133">
        <v>12.78</v>
      </c>
      <c r="E59" s="51">
        <v>2</v>
      </c>
      <c r="F59" s="7"/>
      <c r="G59" s="48">
        <f t="shared" si="3"/>
        <v>25.56</v>
      </c>
    </row>
    <row r="60" spans="1:7" ht="19.5" customHeight="1" x14ac:dyDescent="0.3">
      <c r="A60" s="3">
        <f t="shared" si="2"/>
        <v>58</v>
      </c>
      <c r="B60" s="54" t="s">
        <v>245</v>
      </c>
      <c r="C60" s="3" t="s">
        <v>246</v>
      </c>
      <c r="D60" s="133">
        <v>8.83</v>
      </c>
      <c r="E60" s="47">
        <v>6</v>
      </c>
      <c r="F60" s="7"/>
      <c r="G60" s="48">
        <f t="shared" si="3"/>
        <v>52.98</v>
      </c>
    </row>
    <row r="61" spans="1:7" ht="19.5" customHeight="1" x14ac:dyDescent="0.3">
      <c r="A61" s="3">
        <f t="shared" si="2"/>
        <v>59</v>
      </c>
      <c r="B61" s="54" t="s">
        <v>247</v>
      </c>
      <c r="C61" s="3" t="s">
        <v>248</v>
      </c>
      <c r="D61" s="133">
        <v>2.5099999999999998</v>
      </c>
      <c r="E61" s="47">
        <v>12</v>
      </c>
      <c r="F61" s="7"/>
      <c r="G61" s="48">
        <f t="shared" si="3"/>
        <v>30.12</v>
      </c>
    </row>
    <row r="62" spans="1:7" ht="19.5" customHeight="1" x14ac:dyDescent="0.3">
      <c r="A62" s="3">
        <f t="shared" si="2"/>
        <v>60</v>
      </c>
      <c r="B62" s="54" t="s">
        <v>249</v>
      </c>
      <c r="C62" s="3" t="s">
        <v>96</v>
      </c>
      <c r="D62" s="133">
        <v>30.6</v>
      </c>
      <c r="E62" s="7"/>
      <c r="F62" s="47" t="s">
        <v>115</v>
      </c>
      <c r="G62" s="48">
        <f t="shared" si="3"/>
        <v>0</v>
      </c>
    </row>
    <row r="63" spans="1:7" ht="19.5" customHeight="1" x14ac:dyDescent="0.3">
      <c r="A63" s="3">
        <f t="shared" si="2"/>
        <v>61</v>
      </c>
      <c r="B63" s="54" t="s">
        <v>250</v>
      </c>
      <c r="C63" s="3" t="s">
        <v>96</v>
      </c>
      <c r="D63" s="133">
        <v>36.11</v>
      </c>
      <c r="E63" s="7"/>
      <c r="F63" s="47" t="s">
        <v>115</v>
      </c>
      <c r="G63" s="48">
        <f t="shared" si="3"/>
        <v>0</v>
      </c>
    </row>
    <row r="64" spans="1:7" ht="19.5" customHeight="1" x14ac:dyDescent="0.3">
      <c r="A64" s="3">
        <f t="shared" si="2"/>
        <v>62</v>
      </c>
      <c r="B64" s="54" t="s">
        <v>251</v>
      </c>
      <c r="C64" s="3" t="s">
        <v>252</v>
      </c>
      <c r="D64" s="133">
        <v>50.15</v>
      </c>
      <c r="E64" s="7"/>
      <c r="F64" s="47" t="s">
        <v>115</v>
      </c>
      <c r="G64" s="48">
        <f t="shared" si="3"/>
        <v>0</v>
      </c>
    </row>
    <row r="65" spans="1:7" ht="19.5" customHeight="1" x14ac:dyDescent="0.3">
      <c r="A65" s="3">
        <f t="shared" si="2"/>
        <v>63</v>
      </c>
      <c r="B65" s="54" t="s">
        <v>253</v>
      </c>
      <c r="C65" s="3" t="s">
        <v>96</v>
      </c>
      <c r="D65" s="133">
        <v>12.98</v>
      </c>
      <c r="E65" s="7"/>
      <c r="F65" s="47" t="s">
        <v>115</v>
      </c>
      <c r="G65" s="48">
        <f t="shared" si="3"/>
        <v>0</v>
      </c>
    </row>
    <row r="66" spans="1:7" ht="19.5" customHeight="1" x14ac:dyDescent="0.3">
      <c r="A66" s="3">
        <f t="shared" si="2"/>
        <v>64</v>
      </c>
      <c r="B66" s="54" t="s">
        <v>254</v>
      </c>
      <c r="C66" s="3" t="s">
        <v>96</v>
      </c>
      <c r="D66" s="133">
        <v>16.07</v>
      </c>
      <c r="E66" s="47">
        <v>2</v>
      </c>
      <c r="F66" s="7"/>
      <c r="G66" s="48">
        <f t="shared" si="3"/>
        <v>32.14</v>
      </c>
    </row>
    <row r="67" spans="1:7" ht="19.5" customHeight="1" x14ac:dyDescent="0.3">
      <c r="A67" s="3">
        <f t="shared" ref="A67:A86" si="4">ROW()-2</f>
        <v>65</v>
      </c>
      <c r="B67" s="54" t="s">
        <v>255</v>
      </c>
      <c r="C67" s="3" t="s">
        <v>96</v>
      </c>
      <c r="D67" s="133">
        <v>21.05</v>
      </c>
      <c r="E67" s="47">
        <v>2</v>
      </c>
      <c r="F67" s="7"/>
      <c r="G67" s="48">
        <f t="shared" ref="G67:G86" si="5">TRUNC((D67*E67),2)</f>
        <v>42.1</v>
      </c>
    </row>
    <row r="68" spans="1:7" ht="19.5" customHeight="1" x14ac:dyDescent="0.3">
      <c r="A68" s="3">
        <f t="shared" si="4"/>
        <v>66</v>
      </c>
      <c r="B68" s="54" t="s">
        <v>256</v>
      </c>
      <c r="C68" s="3" t="s">
        <v>96</v>
      </c>
      <c r="D68" s="133">
        <v>29</v>
      </c>
      <c r="E68" s="47">
        <v>2</v>
      </c>
      <c r="F68" s="7"/>
      <c r="G68" s="48">
        <f t="shared" si="5"/>
        <v>58</v>
      </c>
    </row>
    <row r="69" spans="1:7" ht="19.5" customHeight="1" x14ac:dyDescent="0.3">
      <c r="A69" s="3">
        <f t="shared" si="4"/>
        <v>67</v>
      </c>
      <c r="B69" s="54" t="s">
        <v>257</v>
      </c>
      <c r="C69" s="3" t="s">
        <v>96</v>
      </c>
      <c r="D69" s="133">
        <v>14.6</v>
      </c>
      <c r="E69" s="47">
        <v>1</v>
      </c>
      <c r="F69" s="7"/>
      <c r="G69" s="48">
        <f t="shared" si="5"/>
        <v>14.6</v>
      </c>
    </row>
    <row r="70" spans="1:7" ht="19.5" customHeight="1" x14ac:dyDescent="0.3">
      <c r="A70" s="3">
        <f t="shared" si="4"/>
        <v>68</v>
      </c>
      <c r="B70" s="54" t="s">
        <v>258</v>
      </c>
      <c r="C70" s="3" t="s">
        <v>96</v>
      </c>
      <c r="D70" s="133">
        <v>15.13</v>
      </c>
      <c r="E70" s="47"/>
      <c r="F70" s="7" t="s">
        <v>115</v>
      </c>
      <c r="G70" s="48">
        <f t="shared" si="5"/>
        <v>0</v>
      </c>
    </row>
    <row r="71" spans="1:7" ht="19.5" customHeight="1" x14ac:dyDescent="0.3">
      <c r="A71" s="3">
        <f t="shared" si="4"/>
        <v>69</v>
      </c>
      <c r="B71" s="54" t="s">
        <v>109</v>
      </c>
      <c r="C71" s="3" t="s">
        <v>259</v>
      </c>
      <c r="D71" s="133">
        <v>10.119999999999999</v>
      </c>
      <c r="E71" s="51">
        <v>3</v>
      </c>
      <c r="F71" s="7"/>
      <c r="G71" s="48">
        <f t="shared" si="5"/>
        <v>30.36</v>
      </c>
    </row>
    <row r="72" spans="1:7" ht="19.5" customHeight="1" x14ac:dyDescent="0.3">
      <c r="A72" s="3">
        <f t="shared" si="4"/>
        <v>70</v>
      </c>
      <c r="B72" s="54" t="s">
        <v>260</v>
      </c>
      <c r="C72" s="3" t="s">
        <v>180</v>
      </c>
      <c r="D72" s="133">
        <v>16.329999999999998</v>
      </c>
      <c r="E72" s="47">
        <v>1</v>
      </c>
      <c r="F72" s="7"/>
      <c r="G72" s="48">
        <f t="shared" si="5"/>
        <v>16.329999999999998</v>
      </c>
    </row>
    <row r="73" spans="1:7" ht="19.5" customHeight="1" x14ac:dyDescent="0.3">
      <c r="A73" s="3">
        <f t="shared" si="4"/>
        <v>71</v>
      </c>
      <c r="B73" s="54" t="s">
        <v>261</v>
      </c>
      <c r="C73" s="3" t="s">
        <v>262</v>
      </c>
      <c r="D73" s="133">
        <v>12.25</v>
      </c>
      <c r="E73" s="51">
        <v>2</v>
      </c>
      <c r="F73" s="7"/>
      <c r="G73" s="48">
        <f t="shared" si="5"/>
        <v>24.5</v>
      </c>
    </row>
    <row r="74" spans="1:7" ht="19.5" customHeight="1" x14ac:dyDescent="0.3">
      <c r="A74" s="3">
        <f t="shared" si="4"/>
        <v>72</v>
      </c>
      <c r="B74" s="54" t="s">
        <v>263</v>
      </c>
      <c r="C74" s="3" t="s">
        <v>180</v>
      </c>
      <c r="D74" s="133">
        <v>15.66</v>
      </c>
      <c r="E74" s="47">
        <v>2</v>
      </c>
      <c r="F74" s="7"/>
      <c r="G74" s="48">
        <f t="shared" si="5"/>
        <v>31.32</v>
      </c>
    </row>
    <row r="75" spans="1:7" ht="19.5" customHeight="1" x14ac:dyDescent="0.3">
      <c r="A75" s="3">
        <f t="shared" si="4"/>
        <v>73</v>
      </c>
      <c r="B75" s="54" t="s">
        <v>264</v>
      </c>
      <c r="C75" s="3" t="s">
        <v>265</v>
      </c>
      <c r="D75" s="133">
        <v>11.75</v>
      </c>
      <c r="E75" s="51">
        <v>6</v>
      </c>
      <c r="F75" s="7"/>
      <c r="G75" s="48">
        <f t="shared" si="5"/>
        <v>70.5</v>
      </c>
    </row>
    <row r="76" spans="1:7" ht="19.5" customHeight="1" x14ac:dyDescent="0.3">
      <c r="A76" s="3">
        <f t="shared" si="4"/>
        <v>74</v>
      </c>
      <c r="B76" s="54" t="s">
        <v>266</v>
      </c>
      <c r="C76" s="3" t="s">
        <v>265</v>
      </c>
      <c r="D76" s="133">
        <v>13.13</v>
      </c>
      <c r="E76" s="7"/>
      <c r="F76" s="47" t="s">
        <v>115</v>
      </c>
      <c r="G76" s="48">
        <f t="shared" si="5"/>
        <v>0</v>
      </c>
    </row>
    <row r="77" spans="1:7" ht="19.5" customHeight="1" x14ac:dyDescent="0.3">
      <c r="A77" s="3">
        <f t="shared" si="4"/>
        <v>75</v>
      </c>
      <c r="B77" s="54" t="s">
        <v>267</v>
      </c>
      <c r="C77" s="3" t="s">
        <v>265</v>
      </c>
      <c r="D77" s="133">
        <v>16.66</v>
      </c>
      <c r="E77" s="51">
        <v>6</v>
      </c>
      <c r="F77" s="7"/>
      <c r="G77" s="48">
        <f t="shared" si="5"/>
        <v>99.96</v>
      </c>
    </row>
    <row r="78" spans="1:7" ht="19.5" customHeight="1" x14ac:dyDescent="0.3">
      <c r="A78" s="3">
        <f t="shared" si="4"/>
        <v>76</v>
      </c>
      <c r="B78" s="54" t="s">
        <v>268</v>
      </c>
      <c r="C78" s="3" t="s">
        <v>96</v>
      </c>
      <c r="D78" s="133">
        <v>38.83</v>
      </c>
      <c r="E78" s="7"/>
      <c r="F78" s="47" t="s">
        <v>115</v>
      </c>
      <c r="G78" s="48">
        <f t="shared" si="5"/>
        <v>0</v>
      </c>
    </row>
    <row r="79" spans="1:7" ht="19.5" customHeight="1" x14ac:dyDescent="0.3">
      <c r="A79" s="3">
        <f t="shared" si="4"/>
        <v>77</v>
      </c>
      <c r="B79" s="54" t="s">
        <v>269</v>
      </c>
      <c r="C79" s="3" t="s">
        <v>270</v>
      </c>
      <c r="D79" s="133">
        <v>5.95</v>
      </c>
      <c r="E79" s="7"/>
      <c r="F79" s="47" t="s">
        <v>115</v>
      </c>
      <c r="G79" s="48">
        <f t="shared" si="5"/>
        <v>0</v>
      </c>
    </row>
    <row r="80" spans="1:7" ht="19.5" customHeight="1" x14ac:dyDescent="0.3">
      <c r="A80" s="3">
        <f t="shared" si="4"/>
        <v>78</v>
      </c>
      <c r="B80" s="54" t="s">
        <v>271</v>
      </c>
      <c r="C80" s="3" t="s">
        <v>272</v>
      </c>
      <c r="D80" s="133">
        <v>17.010000000000002</v>
      </c>
      <c r="E80" s="7"/>
      <c r="F80" s="47" t="s">
        <v>115</v>
      </c>
      <c r="G80" s="48">
        <f t="shared" si="5"/>
        <v>0</v>
      </c>
    </row>
    <row r="81" spans="1:7" ht="19.5" customHeight="1" x14ac:dyDescent="0.3">
      <c r="A81" s="3">
        <f t="shared" si="4"/>
        <v>79</v>
      </c>
      <c r="B81" s="55" t="s">
        <v>273</v>
      </c>
      <c r="C81" s="3" t="s">
        <v>96</v>
      </c>
      <c r="D81" s="133">
        <v>19.37</v>
      </c>
      <c r="E81" s="47">
        <v>2</v>
      </c>
      <c r="F81" s="7"/>
      <c r="G81" s="48">
        <f t="shared" si="5"/>
        <v>38.74</v>
      </c>
    </row>
    <row r="82" spans="1:7" ht="19.5" customHeight="1" x14ac:dyDescent="0.3">
      <c r="A82" s="3">
        <f t="shared" si="4"/>
        <v>80</v>
      </c>
      <c r="B82" s="54" t="s">
        <v>274</v>
      </c>
      <c r="C82" s="3" t="s">
        <v>96</v>
      </c>
      <c r="D82" s="133">
        <v>21.16</v>
      </c>
      <c r="E82" s="47">
        <v>2</v>
      </c>
      <c r="F82" s="7"/>
      <c r="G82" s="48">
        <f t="shared" si="5"/>
        <v>42.32</v>
      </c>
    </row>
    <row r="83" spans="1:7" ht="19.5" customHeight="1" x14ac:dyDescent="0.3">
      <c r="A83" s="3">
        <f t="shared" si="4"/>
        <v>81</v>
      </c>
      <c r="B83" s="54" t="s">
        <v>275</v>
      </c>
      <c r="C83" s="3" t="s">
        <v>96</v>
      </c>
      <c r="D83" s="133">
        <v>30.73</v>
      </c>
      <c r="E83" s="47"/>
      <c r="F83" s="7" t="s">
        <v>115</v>
      </c>
      <c r="G83" s="48">
        <f t="shared" si="5"/>
        <v>0</v>
      </c>
    </row>
    <row r="84" spans="1:7" ht="19.5" customHeight="1" x14ac:dyDescent="0.3">
      <c r="A84" s="3">
        <f t="shared" si="4"/>
        <v>82</v>
      </c>
      <c r="B84" s="54" t="s">
        <v>276</v>
      </c>
      <c r="C84" s="3" t="s">
        <v>96</v>
      </c>
      <c r="D84" s="133">
        <v>16.57</v>
      </c>
      <c r="E84" s="47">
        <v>1</v>
      </c>
      <c r="F84" s="7"/>
      <c r="G84" s="48">
        <f t="shared" si="5"/>
        <v>16.57</v>
      </c>
    </row>
    <row r="85" spans="1:7" ht="19.5" customHeight="1" x14ac:dyDescent="0.3">
      <c r="A85" s="3">
        <f t="shared" si="4"/>
        <v>83</v>
      </c>
      <c r="B85" s="54" t="s">
        <v>277</v>
      </c>
      <c r="C85" s="3" t="s">
        <v>96</v>
      </c>
      <c r="D85" s="133">
        <v>18.7</v>
      </c>
      <c r="E85" s="47"/>
      <c r="F85" s="7" t="s">
        <v>115</v>
      </c>
      <c r="G85" s="48">
        <f t="shared" si="5"/>
        <v>0</v>
      </c>
    </row>
    <row r="86" spans="1:7" ht="19.5" customHeight="1" x14ac:dyDescent="0.3">
      <c r="A86" s="3">
        <f t="shared" si="4"/>
        <v>84</v>
      </c>
      <c r="B86" s="54" t="s">
        <v>278</v>
      </c>
      <c r="C86" s="3" t="s">
        <v>96</v>
      </c>
      <c r="D86" s="133">
        <v>8.32</v>
      </c>
      <c r="E86" s="47">
        <v>2</v>
      </c>
      <c r="F86" s="7"/>
      <c r="G86" s="48">
        <f t="shared" si="5"/>
        <v>16.64</v>
      </c>
    </row>
    <row r="87" spans="1:7" ht="19.5" customHeight="1" x14ac:dyDescent="0.3">
      <c r="A87" s="3"/>
      <c r="B87" s="54"/>
      <c r="C87" s="3"/>
      <c r="D87" s="3"/>
      <c r="E87" s="3"/>
      <c r="F87" s="3"/>
      <c r="G87" s="48"/>
    </row>
    <row r="88" spans="1:7" ht="19.5" customHeight="1" x14ac:dyDescent="0.3">
      <c r="A88" s="3"/>
      <c r="B88" s="54"/>
      <c r="C88" s="3"/>
      <c r="D88" s="3"/>
      <c r="E88" s="3"/>
      <c r="F88" s="48"/>
      <c r="G88" s="48"/>
    </row>
    <row r="89" spans="1:7" ht="19.5" customHeight="1" x14ac:dyDescent="0.3">
      <c r="A89" s="3"/>
      <c r="B89" s="54"/>
      <c r="C89" s="3"/>
      <c r="D89" s="48">
        <f>TRUNC(SUM(D3:D86),2)</f>
        <v>2064.12</v>
      </c>
      <c r="E89" s="3"/>
      <c r="F89" s="48"/>
      <c r="G89" s="134">
        <f>TRUNC(SUM(G3:G86),2)</f>
        <v>2005.88</v>
      </c>
    </row>
    <row r="90" spans="1:7" ht="19.5" customHeight="1" x14ac:dyDescent="0.3">
      <c r="A90" s="25"/>
      <c r="B90" s="25"/>
      <c r="C90" s="25"/>
      <c r="D90" s="25"/>
      <c r="E90" s="25"/>
      <c r="F90" s="25"/>
      <c r="G90" s="25"/>
    </row>
    <row r="91" spans="1:7" ht="19.5" customHeight="1" x14ac:dyDescent="0.3">
      <c r="A91" s="25"/>
      <c r="B91" s="25"/>
      <c r="C91" s="183" t="s">
        <v>111</v>
      </c>
      <c r="D91" s="183"/>
      <c r="E91" s="183"/>
      <c r="F91" s="184">
        <f>TRUNC((G89/12),2)</f>
        <v>167.15</v>
      </c>
      <c r="G91" s="184"/>
    </row>
    <row r="92" spans="1:7" x14ac:dyDescent="0.3">
      <c r="A92" s="26"/>
      <c r="B92" s="26"/>
      <c r="C92" s="26"/>
      <c r="D92" s="26"/>
      <c r="E92" s="26"/>
      <c r="F92" s="26"/>
      <c r="G92" s="26"/>
    </row>
    <row r="93" spans="1:7" x14ac:dyDescent="0.3">
      <c r="A93" s="26"/>
      <c r="B93" s="26"/>
      <c r="C93" s="26"/>
      <c r="D93" s="26"/>
      <c r="E93" s="26"/>
      <c r="F93" s="26"/>
      <c r="G93" s="26"/>
    </row>
    <row r="94" spans="1:7" x14ac:dyDescent="0.3">
      <c r="A94" s="26"/>
      <c r="B94" s="26"/>
      <c r="C94" s="26"/>
      <c r="D94" s="26"/>
      <c r="E94" s="26"/>
      <c r="F94" s="26"/>
      <c r="G94" s="26"/>
    </row>
    <row r="95" spans="1:7" x14ac:dyDescent="0.3">
      <c r="A95" s="26"/>
      <c r="B95" s="26"/>
      <c r="C95" s="26"/>
      <c r="D95" s="26"/>
      <c r="E95" s="26"/>
      <c r="F95" s="26"/>
      <c r="G95" s="26"/>
    </row>
    <row r="96" spans="1:7" x14ac:dyDescent="0.3">
      <c r="A96" s="26"/>
      <c r="B96" s="26"/>
      <c r="C96" s="26"/>
      <c r="D96" s="26"/>
      <c r="E96" s="26"/>
      <c r="F96" s="26"/>
      <c r="G96" s="26"/>
    </row>
    <row r="97" spans="1:7" x14ac:dyDescent="0.3">
      <c r="A97" s="26"/>
      <c r="B97" s="26"/>
      <c r="C97" s="26"/>
      <c r="D97" s="26"/>
      <c r="E97" s="26"/>
      <c r="F97" s="26"/>
      <c r="G97" s="26"/>
    </row>
    <row r="98" spans="1:7" x14ac:dyDescent="0.3">
      <c r="A98" s="26"/>
      <c r="B98" s="26"/>
      <c r="C98" s="26"/>
      <c r="D98" s="26"/>
      <c r="E98" s="26"/>
      <c r="F98" s="26"/>
      <c r="G98" s="26"/>
    </row>
    <row r="99" spans="1:7" x14ac:dyDescent="0.3">
      <c r="A99" s="26"/>
      <c r="B99" s="26"/>
      <c r="C99" s="26"/>
      <c r="D99" s="26"/>
      <c r="E99" s="26"/>
      <c r="F99" s="26"/>
      <c r="G99" s="26"/>
    </row>
    <row r="100" spans="1:7" x14ac:dyDescent="0.3">
      <c r="A100" s="26"/>
      <c r="B100" s="26"/>
      <c r="C100" s="26"/>
      <c r="D100" s="26"/>
      <c r="E100" s="26"/>
      <c r="F100" s="26"/>
      <c r="G100" s="26"/>
    </row>
    <row r="101" spans="1:7" x14ac:dyDescent="0.3">
      <c r="A101" s="26"/>
      <c r="B101" s="26"/>
      <c r="C101" s="26"/>
      <c r="D101" s="26"/>
      <c r="E101" s="26"/>
      <c r="F101" s="26"/>
      <c r="G101" s="26"/>
    </row>
    <row r="102" spans="1:7" x14ac:dyDescent="0.3">
      <c r="A102" s="26"/>
      <c r="B102" s="26"/>
      <c r="C102" s="26"/>
      <c r="D102" s="26"/>
      <c r="E102" s="26"/>
      <c r="F102" s="26"/>
      <c r="G102" s="26"/>
    </row>
    <row r="103" spans="1:7" x14ac:dyDescent="0.3">
      <c r="A103" s="26"/>
      <c r="B103" s="26"/>
      <c r="C103" s="26"/>
      <c r="D103" s="26"/>
      <c r="E103" s="26"/>
      <c r="F103" s="26"/>
      <c r="G103" s="26"/>
    </row>
    <row r="104" spans="1:7" x14ac:dyDescent="0.3">
      <c r="A104" s="26"/>
      <c r="B104" s="26"/>
      <c r="C104" s="26"/>
      <c r="D104" s="26"/>
      <c r="E104" s="26"/>
      <c r="F104" s="26"/>
      <c r="G104" s="26"/>
    </row>
    <row r="105" spans="1:7" x14ac:dyDescent="0.3">
      <c r="A105" s="26"/>
      <c r="B105" s="26"/>
      <c r="C105" s="26"/>
      <c r="D105" s="26"/>
      <c r="E105" s="26"/>
      <c r="F105" s="26"/>
      <c r="G105" s="26"/>
    </row>
    <row r="106" spans="1:7" x14ac:dyDescent="0.3">
      <c r="A106" s="26"/>
      <c r="B106" s="26"/>
      <c r="C106" s="26"/>
      <c r="D106" s="26"/>
      <c r="E106" s="26"/>
      <c r="F106" s="26"/>
      <c r="G106" s="26"/>
    </row>
    <row r="107" spans="1:7" x14ac:dyDescent="0.3">
      <c r="A107" s="26"/>
      <c r="B107" s="26"/>
      <c r="C107" s="26"/>
      <c r="D107" s="26"/>
      <c r="E107" s="26"/>
      <c r="F107" s="26"/>
      <c r="G107" s="26"/>
    </row>
    <row r="108" spans="1:7" x14ac:dyDescent="0.3">
      <c r="A108" s="26"/>
      <c r="B108" s="26"/>
      <c r="C108" s="26"/>
      <c r="D108" s="26"/>
      <c r="E108" s="26"/>
      <c r="F108" s="26"/>
      <c r="G108" s="26"/>
    </row>
    <row r="109" spans="1:7" x14ac:dyDescent="0.3">
      <c r="A109" s="26"/>
      <c r="B109" s="26"/>
      <c r="C109" s="26"/>
      <c r="D109" s="26"/>
      <c r="E109" s="26"/>
      <c r="F109" s="26"/>
      <c r="G109" s="26"/>
    </row>
    <row r="110" spans="1:7" x14ac:dyDescent="0.3">
      <c r="A110" s="26"/>
      <c r="B110" s="26"/>
      <c r="C110" s="26"/>
      <c r="D110" s="26"/>
      <c r="E110" s="26"/>
      <c r="F110" s="26"/>
      <c r="G110" s="26"/>
    </row>
    <row r="111" spans="1:7" x14ac:dyDescent="0.3">
      <c r="A111" s="26"/>
      <c r="B111" s="26"/>
      <c r="C111" s="26"/>
      <c r="D111" s="26"/>
      <c r="E111" s="26"/>
      <c r="F111" s="26"/>
      <c r="G111" s="26"/>
    </row>
    <row r="112" spans="1:7" x14ac:dyDescent="0.3">
      <c r="A112" s="26"/>
      <c r="B112" s="26"/>
      <c r="C112" s="26"/>
      <c r="D112" s="26"/>
      <c r="E112" s="26"/>
      <c r="F112" s="26"/>
      <c r="G112" s="26"/>
    </row>
    <row r="113" spans="1:7" x14ac:dyDescent="0.3">
      <c r="A113" s="26"/>
      <c r="B113" s="26"/>
      <c r="C113" s="26"/>
      <c r="D113" s="26"/>
      <c r="E113" s="26"/>
      <c r="F113" s="26"/>
      <c r="G113" s="26"/>
    </row>
    <row r="114" spans="1:7" x14ac:dyDescent="0.3">
      <c r="A114" s="26"/>
      <c r="B114" s="26"/>
      <c r="C114" s="26"/>
      <c r="D114" s="26"/>
      <c r="E114" s="26"/>
      <c r="F114" s="26"/>
      <c r="G114" s="26"/>
    </row>
    <row r="115" spans="1:7" x14ac:dyDescent="0.3">
      <c r="A115" s="26"/>
      <c r="B115" s="26"/>
      <c r="C115" s="26"/>
      <c r="D115" s="26"/>
      <c r="E115" s="26"/>
      <c r="F115" s="26"/>
      <c r="G115" s="26"/>
    </row>
    <row r="116" spans="1:7" x14ac:dyDescent="0.3">
      <c r="A116" s="26"/>
      <c r="B116" s="26"/>
      <c r="C116" s="26"/>
      <c r="D116" s="26"/>
      <c r="E116" s="26"/>
      <c r="F116" s="26"/>
      <c r="G116" s="26"/>
    </row>
    <row r="117" spans="1:7" x14ac:dyDescent="0.3">
      <c r="A117" s="26"/>
      <c r="B117" s="26"/>
      <c r="C117" s="26"/>
      <c r="D117" s="26"/>
      <c r="E117" s="26"/>
      <c r="F117" s="26"/>
      <c r="G117" s="26"/>
    </row>
    <row r="118" spans="1:7" x14ac:dyDescent="0.3">
      <c r="A118" s="26"/>
      <c r="B118" s="26"/>
      <c r="C118" s="26"/>
      <c r="D118" s="26"/>
      <c r="E118" s="26"/>
      <c r="F118" s="26"/>
      <c r="G118" s="26"/>
    </row>
    <row r="119" spans="1:7" x14ac:dyDescent="0.3">
      <c r="A119" s="26"/>
      <c r="B119" s="26"/>
      <c r="C119" s="26"/>
      <c r="D119" s="26"/>
      <c r="E119" s="26"/>
      <c r="F119" s="26"/>
      <c r="G119" s="26"/>
    </row>
    <row r="120" spans="1:7" x14ac:dyDescent="0.3">
      <c r="A120" s="26"/>
      <c r="B120" s="26"/>
      <c r="C120" s="26"/>
      <c r="D120" s="26"/>
      <c r="E120" s="26"/>
      <c r="F120" s="26"/>
      <c r="G120" s="26"/>
    </row>
    <row r="121" spans="1:7" x14ac:dyDescent="0.3">
      <c r="A121" s="26"/>
      <c r="B121" s="26"/>
      <c r="C121" s="26"/>
      <c r="D121" s="26"/>
      <c r="E121" s="26"/>
      <c r="F121" s="26"/>
      <c r="G121" s="26"/>
    </row>
    <row r="122" spans="1:7" x14ac:dyDescent="0.3">
      <c r="A122" s="26"/>
      <c r="B122" s="26"/>
      <c r="C122" s="26"/>
      <c r="D122" s="26"/>
      <c r="E122" s="26"/>
      <c r="F122" s="26"/>
      <c r="G122" s="26"/>
    </row>
    <row r="123" spans="1:7" x14ac:dyDescent="0.3">
      <c r="A123" s="26"/>
      <c r="B123" s="26"/>
      <c r="C123" s="26"/>
      <c r="D123" s="26"/>
      <c r="E123" s="26"/>
      <c r="F123" s="26"/>
      <c r="G123" s="26"/>
    </row>
    <row r="124" spans="1:7" x14ac:dyDescent="0.3">
      <c r="A124" s="26"/>
      <c r="B124" s="26"/>
      <c r="C124" s="26"/>
      <c r="D124" s="26"/>
      <c r="E124" s="26"/>
      <c r="F124" s="26"/>
      <c r="G124" s="26"/>
    </row>
    <row r="125" spans="1:7" x14ac:dyDescent="0.3">
      <c r="A125" s="26"/>
      <c r="B125" s="26"/>
      <c r="C125" s="26"/>
      <c r="D125" s="26"/>
      <c r="E125" s="26"/>
      <c r="F125" s="26"/>
      <c r="G125" s="26"/>
    </row>
    <row r="126" spans="1:7" x14ac:dyDescent="0.3">
      <c r="A126" s="26"/>
      <c r="B126" s="26"/>
      <c r="C126" s="26"/>
      <c r="D126" s="26"/>
      <c r="E126" s="26"/>
      <c r="F126" s="26"/>
      <c r="G126" s="26"/>
    </row>
    <row r="127" spans="1:7" x14ac:dyDescent="0.3">
      <c r="A127" s="26"/>
      <c r="B127" s="26"/>
      <c r="C127" s="26"/>
      <c r="D127" s="26"/>
      <c r="E127" s="26"/>
      <c r="F127" s="26"/>
      <c r="G127" s="26"/>
    </row>
    <row r="128" spans="1:7" x14ac:dyDescent="0.3">
      <c r="A128" s="26"/>
      <c r="B128" s="26"/>
      <c r="C128" s="26"/>
      <c r="D128" s="26"/>
      <c r="E128" s="26"/>
      <c r="F128" s="26"/>
      <c r="G128" s="26"/>
    </row>
    <row r="129" spans="1:7" x14ac:dyDescent="0.3">
      <c r="A129" s="26"/>
      <c r="B129" s="26"/>
      <c r="C129" s="26"/>
      <c r="D129" s="26"/>
      <c r="E129" s="26"/>
      <c r="F129" s="26"/>
      <c r="G129" s="26"/>
    </row>
    <row r="130" spans="1:7" x14ac:dyDescent="0.3">
      <c r="A130" s="26"/>
      <c r="B130" s="26"/>
      <c r="C130" s="26"/>
      <c r="D130" s="26"/>
      <c r="E130" s="26"/>
      <c r="F130" s="26"/>
      <c r="G130" s="26"/>
    </row>
    <row r="131" spans="1:7" x14ac:dyDescent="0.3">
      <c r="A131" s="26"/>
      <c r="B131" s="26"/>
      <c r="C131" s="26"/>
      <c r="D131" s="26"/>
      <c r="E131" s="26"/>
      <c r="F131" s="26"/>
      <c r="G131" s="26"/>
    </row>
    <row r="132" spans="1:7" x14ac:dyDescent="0.3">
      <c r="A132" s="26"/>
      <c r="B132" s="26"/>
      <c r="C132" s="26"/>
      <c r="D132" s="26"/>
      <c r="E132" s="26"/>
      <c r="F132" s="26"/>
      <c r="G132" s="26"/>
    </row>
    <row r="133" spans="1:7" x14ac:dyDescent="0.3">
      <c r="A133" s="26"/>
      <c r="B133" s="26"/>
      <c r="C133" s="26"/>
      <c r="D133" s="26"/>
      <c r="E133" s="26"/>
      <c r="F133" s="26"/>
      <c r="G133" s="26"/>
    </row>
    <row r="134" spans="1:7" x14ac:dyDescent="0.3">
      <c r="A134" s="26"/>
      <c r="B134" s="26"/>
      <c r="C134" s="26"/>
      <c r="D134" s="26"/>
      <c r="E134" s="26"/>
      <c r="F134" s="26"/>
      <c r="G134" s="26"/>
    </row>
    <row r="135" spans="1:7" x14ac:dyDescent="0.3">
      <c r="A135" s="26"/>
      <c r="B135" s="26"/>
      <c r="C135" s="26"/>
      <c r="D135" s="26"/>
      <c r="E135" s="26"/>
      <c r="F135" s="26"/>
      <c r="G135" s="26"/>
    </row>
    <row r="136" spans="1:7" x14ac:dyDescent="0.3">
      <c r="A136" s="26"/>
      <c r="B136" s="26"/>
      <c r="C136" s="26"/>
      <c r="D136" s="26"/>
      <c r="E136" s="26"/>
      <c r="F136" s="26"/>
      <c r="G136" s="26"/>
    </row>
    <row r="137" spans="1:7" x14ac:dyDescent="0.3">
      <c r="A137" s="26"/>
      <c r="B137" s="26"/>
      <c r="C137" s="26"/>
      <c r="D137" s="26"/>
      <c r="E137" s="26"/>
      <c r="F137" s="26"/>
      <c r="G137" s="26"/>
    </row>
    <row r="138" spans="1:7" x14ac:dyDescent="0.3">
      <c r="A138" s="26"/>
      <c r="B138" s="26"/>
      <c r="C138" s="26"/>
      <c r="D138" s="26"/>
      <c r="E138" s="26"/>
      <c r="F138" s="26"/>
      <c r="G138" s="26"/>
    </row>
    <row r="139" spans="1:7" x14ac:dyDescent="0.3">
      <c r="A139" s="26"/>
      <c r="B139" s="26"/>
      <c r="C139" s="26"/>
      <c r="D139" s="26"/>
      <c r="E139" s="26"/>
      <c r="F139" s="26"/>
      <c r="G139" s="26"/>
    </row>
    <row r="140" spans="1:7" x14ac:dyDescent="0.3">
      <c r="A140" s="26"/>
      <c r="B140" s="26"/>
      <c r="C140" s="26"/>
      <c r="D140" s="26"/>
      <c r="E140" s="26"/>
      <c r="F140" s="26"/>
      <c r="G140" s="26"/>
    </row>
    <row r="141" spans="1:7" x14ac:dyDescent="0.3">
      <c r="A141" s="26"/>
      <c r="B141" s="26"/>
      <c r="C141" s="26"/>
      <c r="D141" s="26"/>
      <c r="E141" s="26"/>
      <c r="F141" s="26"/>
      <c r="G141" s="26"/>
    </row>
    <row r="142" spans="1:7" x14ac:dyDescent="0.3">
      <c r="A142" s="26"/>
      <c r="B142" s="26"/>
      <c r="C142" s="26"/>
      <c r="D142" s="26"/>
      <c r="E142" s="26"/>
      <c r="F142" s="26"/>
      <c r="G142" s="26"/>
    </row>
    <row r="143" spans="1:7" x14ac:dyDescent="0.3">
      <c r="A143" s="26"/>
      <c r="B143" s="26"/>
      <c r="C143" s="26"/>
      <c r="D143" s="26"/>
      <c r="E143" s="26"/>
      <c r="F143" s="26"/>
      <c r="G143" s="26"/>
    </row>
    <row r="144" spans="1:7" x14ac:dyDescent="0.3">
      <c r="A144" s="26"/>
      <c r="B144" s="26"/>
      <c r="C144" s="26"/>
      <c r="D144" s="26"/>
      <c r="E144" s="26"/>
      <c r="F144" s="26"/>
      <c r="G144" s="26"/>
    </row>
    <row r="145" spans="1:7" x14ac:dyDescent="0.3">
      <c r="A145" s="26"/>
      <c r="B145" s="26"/>
      <c r="C145" s="26"/>
      <c r="D145" s="26"/>
      <c r="E145" s="26"/>
      <c r="F145" s="26"/>
      <c r="G145" s="26"/>
    </row>
    <row r="146" spans="1:7" x14ac:dyDescent="0.3">
      <c r="A146" s="26"/>
      <c r="B146" s="26"/>
      <c r="C146" s="26"/>
      <c r="D146" s="26"/>
      <c r="E146" s="26"/>
      <c r="F146" s="26"/>
      <c r="G146" s="26"/>
    </row>
    <row r="147" spans="1:7" x14ac:dyDescent="0.3">
      <c r="A147" s="26"/>
      <c r="B147" s="26"/>
      <c r="C147" s="26"/>
      <c r="D147" s="26"/>
      <c r="E147" s="26"/>
      <c r="F147" s="26"/>
      <c r="G147" s="26"/>
    </row>
  </sheetData>
  <sheetProtection sheet="1" objects="1" scenarios="1"/>
  <protectedRanges>
    <protectedRange sqref="D3:D86" name="Intervalo1"/>
  </protectedRanges>
  <mergeCells count="3">
    <mergeCell ref="A1:G1"/>
    <mergeCell ref="C91:E91"/>
    <mergeCell ref="F91:G91"/>
  </mergeCell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8"/>
  <sheetViews>
    <sheetView zoomScale="90" zoomScaleNormal="90" workbookViewId="0">
      <selection activeCell="I23" sqref="I23"/>
    </sheetView>
  </sheetViews>
  <sheetFormatPr defaultColWidth="8.6640625" defaultRowHeight="14.4" x14ac:dyDescent="0.3"/>
  <cols>
    <col min="2" max="2" width="68.88671875" customWidth="1"/>
    <col min="3" max="3" width="15.44140625" customWidth="1"/>
    <col min="4" max="4" width="18.33203125" customWidth="1"/>
    <col min="5" max="5" width="16.33203125" customWidth="1"/>
    <col min="6" max="6" width="15.33203125" customWidth="1"/>
    <col min="7" max="7" width="18.109375" customWidth="1"/>
    <col min="8" max="8" width="14" customWidth="1"/>
    <col min="9" max="9" width="24.109375" customWidth="1"/>
  </cols>
  <sheetData>
    <row r="1" spans="1:9" x14ac:dyDescent="0.3">
      <c r="A1" s="178" t="s">
        <v>279</v>
      </c>
      <c r="B1" s="178"/>
      <c r="C1" s="178"/>
      <c r="D1" s="178"/>
      <c r="E1" s="178"/>
      <c r="F1" s="178"/>
      <c r="G1" s="178"/>
      <c r="H1" s="178"/>
      <c r="I1" s="178"/>
    </row>
    <row r="2" spans="1:9" x14ac:dyDescent="0.3">
      <c r="A2" s="178" t="s">
        <v>280</v>
      </c>
      <c r="B2" s="178"/>
      <c r="C2" s="178"/>
      <c r="D2" s="178"/>
      <c r="E2" s="178"/>
      <c r="F2" s="178"/>
      <c r="G2" s="178"/>
      <c r="H2" s="178"/>
      <c r="I2" s="178"/>
    </row>
    <row r="3" spans="1:9" ht="54" customHeight="1" x14ac:dyDescent="0.3">
      <c r="A3" s="13" t="s">
        <v>1</v>
      </c>
      <c r="B3" s="13" t="s">
        <v>281</v>
      </c>
      <c r="C3" s="13" t="s">
        <v>282</v>
      </c>
      <c r="D3" s="13" t="s">
        <v>283</v>
      </c>
      <c r="E3" s="13" t="s">
        <v>284</v>
      </c>
      <c r="F3" s="13" t="s">
        <v>285</v>
      </c>
      <c r="G3" s="13" t="s">
        <v>286</v>
      </c>
      <c r="H3" s="13" t="s">
        <v>287</v>
      </c>
      <c r="I3" s="13" t="s">
        <v>288</v>
      </c>
    </row>
    <row r="4" spans="1:9" ht="28.5" customHeight="1" x14ac:dyDescent="0.3">
      <c r="A4" s="2">
        <v>1</v>
      </c>
      <c r="B4" s="56" t="s">
        <v>289</v>
      </c>
      <c r="C4" s="185">
        <v>1</v>
      </c>
      <c r="D4" s="2">
        <v>2</v>
      </c>
      <c r="E4" s="2">
        <v>2</v>
      </c>
      <c r="F4" s="135">
        <v>92.3</v>
      </c>
      <c r="G4" s="57">
        <f t="shared" ref="G4:G9" si="0">D4*E4*F4</f>
        <v>369.2</v>
      </c>
      <c r="H4" s="57">
        <f t="shared" ref="H4:H9" si="1">TRUNC(($C$4*G4),2)</f>
        <v>369.2</v>
      </c>
      <c r="I4" s="57">
        <f t="shared" ref="I4:I9" si="2">TRUNC((H4/12),2)</f>
        <v>30.76</v>
      </c>
    </row>
    <row r="5" spans="1:9" ht="30.75" customHeight="1" x14ac:dyDescent="0.3">
      <c r="A5" s="2">
        <v>2</v>
      </c>
      <c r="B5" s="56" t="s">
        <v>290</v>
      </c>
      <c r="C5" s="185"/>
      <c r="D5" s="2">
        <v>4</v>
      </c>
      <c r="E5" s="2">
        <v>2</v>
      </c>
      <c r="F5" s="135">
        <v>79.319999999999993</v>
      </c>
      <c r="G5" s="57">
        <f t="shared" si="0"/>
        <v>634.55999999999995</v>
      </c>
      <c r="H5" s="57">
        <f t="shared" si="1"/>
        <v>634.55999999999995</v>
      </c>
      <c r="I5" s="57">
        <f t="shared" si="2"/>
        <v>52.88</v>
      </c>
    </row>
    <row r="6" spans="1:9" ht="18" customHeight="1" x14ac:dyDescent="0.3">
      <c r="A6" s="2">
        <v>3</v>
      </c>
      <c r="B6" s="56" t="s">
        <v>291</v>
      </c>
      <c r="C6" s="185"/>
      <c r="D6" s="2">
        <v>4</v>
      </c>
      <c r="E6" s="2">
        <v>2</v>
      </c>
      <c r="F6" s="135">
        <v>21.25</v>
      </c>
      <c r="G6" s="57">
        <f t="shared" si="0"/>
        <v>170</v>
      </c>
      <c r="H6" s="57">
        <f t="shared" si="1"/>
        <v>170</v>
      </c>
      <c r="I6" s="57">
        <f t="shared" si="2"/>
        <v>14.16</v>
      </c>
    </row>
    <row r="7" spans="1:9" x14ac:dyDescent="0.3">
      <c r="A7" s="2">
        <v>4</v>
      </c>
      <c r="B7" s="1" t="s">
        <v>292</v>
      </c>
      <c r="C7" s="185"/>
      <c r="D7" s="2">
        <v>2</v>
      </c>
      <c r="E7" s="2">
        <v>2</v>
      </c>
      <c r="F7" s="135">
        <v>100.79</v>
      </c>
      <c r="G7" s="57">
        <f t="shared" si="0"/>
        <v>403.16</v>
      </c>
      <c r="H7" s="57">
        <f t="shared" si="1"/>
        <v>403.16</v>
      </c>
      <c r="I7" s="57">
        <f t="shared" si="2"/>
        <v>33.590000000000003</v>
      </c>
    </row>
    <row r="8" spans="1:9" x14ac:dyDescent="0.3">
      <c r="A8" s="2">
        <v>5</v>
      </c>
      <c r="B8" s="1" t="s">
        <v>293</v>
      </c>
      <c r="C8" s="185"/>
      <c r="D8" s="2">
        <v>2</v>
      </c>
      <c r="E8" s="2">
        <v>2</v>
      </c>
      <c r="F8" s="135">
        <v>75.260000000000005</v>
      </c>
      <c r="G8" s="57">
        <f t="shared" si="0"/>
        <v>301.04000000000002</v>
      </c>
      <c r="H8" s="57">
        <f t="shared" si="1"/>
        <v>301.04000000000002</v>
      </c>
      <c r="I8" s="57">
        <f t="shared" si="2"/>
        <v>25.08</v>
      </c>
    </row>
    <row r="9" spans="1:9" x14ac:dyDescent="0.3">
      <c r="A9" s="2">
        <v>6</v>
      </c>
      <c r="B9" s="1" t="s">
        <v>294</v>
      </c>
      <c r="C9" s="185"/>
      <c r="D9" s="2">
        <v>1</v>
      </c>
      <c r="E9" s="2">
        <v>2</v>
      </c>
      <c r="F9" s="135">
        <v>126.77</v>
      </c>
      <c r="G9" s="57">
        <f t="shared" si="0"/>
        <v>253.54</v>
      </c>
      <c r="H9" s="57">
        <f t="shared" si="1"/>
        <v>253.54</v>
      </c>
      <c r="I9" s="57">
        <f t="shared" si="2"/>
        <v>21.12</v>
      </c>
    </row>
    <row r="10" spans="1:9" x14ac:dyDescent="0.3">
      <c r="A10" s="58"/>
      <c r="B10" s="187" t="s">
        <v>53</v>
      </c>
      <c r="C10" s="187"/>
      <c r="D10" s="187"/>
      <c r="E10" s="187"/>
      <c r="F10" s="59">
        <f>SUM(F4:F9)</f>
        <v>495.69</v>
      </c>
      <c r="G10" s="60">
        <f>SUM(G4:G9)</f>
        <v>2131.5</v>
      </c>
      <c r="H10" s="60">
        <f>SUM(H4:H9)</f>
        <v>2131.5</v>
      </c>
      <c r="I10" s="60">
        <f>SUM(I4:I9)</f>
        <v>177.58999999999997</v>
      </c>
    </row>
    <row r="11" spans="1:9" x14ac:dyDescent="0.3">
      <c r="A11" s="61"/>
      <c r="B11" s="61"/>
      <c r="C11" s="61"/>
      <c r="D11" s="61"/>
      <c r="E11" s="61"/>
      <c r="F11" s="61"/>
      <c r="G11" s="61"/>
      <c r="H11" s="61"/>
      <c r="I11" s="61"/>
    </row>
    <row r="12" spans="1:9" x14ac:dyDescent="0.3">
      <c r="A12" s="178" t="s">
        <v>295</v>
      </c>
      <c r="B12" s="178"/>
      <c r="C12" s="178"/>
      <c r="D12" s="178"/>
      <c r="E12" s="178"/>
      <c r="F12" s="178"/>
      <c r="G12" s="178"/>
      <c r="H12" s="178"/>
      <c r="I12" s="178"/>
    </row>
    <row r="13" spans="1:9" ht="51" customHeight="1" x14ac:dyDescent="0.3">
      <c r="A13" s="13" t="s">
        <v>1</v>
      </c>
      <c r="B13" s="13" t="s">
        <v>281</v>
      </c>
      <c r="C13" s="13" t="s">
        <v>282</v>
      </c>
      <c r="D13" s="13" t="s">
        <v>283</v>
      </c>
      <c r="E13" s="13" t="s">
        <v>284</v>
      </c>
      <c r="F13" s="13" t="s">
        <v>285</v>
      </c>
      <c r="G13" s="13" t="s">
        <v>286</v>
      </c>
      <c r="H13" s="13" t="s">
        <v>287</v>
      </c>
      <c r="I13" s="13" t="s">
        <v>288</v>
      </c>
    </row>
    <row r="14" spans="1:9" ht="81.75" customHeight="1" x14ac:dyDescent="0.3">
      <c r="A14" s="2">
        <v>1</v>
      </c>
      <c r="B14" s="56" t="s">
        <v>296</v>
      </c>
      <c r="C14" s="185">
        <v>1</v>
      </c>
      <c r="D14" s="2">
        <v>4</v>
      </c>
      <c r="E14" s="2">
        <v>2</v>
      </c>
      <c r="F14" s="135">
        <v>79.86</v>
      </c>
      <c r="G14" s="57">
        <f>D14*E14*F14</f>
        <v>638.88</v>
      </c>
      <c r="H14" s="57">
        <f>TRUNC(($C$14*G14),2)</f>
        <v>638.88</v>
      </c>
      <c r="I14" s="57">
        <f>TRUNC((H14/12),2)</f>
        <v>53.24</v>
      </c>
    </row>
    <row r="15" spans="1:9" ht="60" customHeight="1" x14ac:dyDescent="0.3">
      <c r="A15" s="2">
        <v>2</v>
      </c>
      <c r="B15" s="56" t="s">
        <v>297</v>
      </c>
      <c r="C15" s="185"/>
      <c r="D15" s="2">
        <v>2</v>
      </c>
      <c r="E15" s="2">
        <v>2</v>
      </c>
      <c r="F15" s="135">
        <v>85.72</v>
      </c>
      <c r="G15" s="57">
        <f>D15*E15*F15</f>
        <v>342.88</v>
      </c>
      <c r="H15" s="57">
        <f>TRUNC(($C$14*G15),2)</f>
        <v>342.88</v>
      </c>
      <c r="I15" s="57">
        <f>TRUNC((H15/12),2)</f>
        <v>28.57</v>
      </c>
    </row>
    <row r="16" spans="1:9" ht="27" customHeight="1" x14ac:dyDescent="0.3">
      <c r="A16" s="2">
        <v>3</v>
      </c>
      <c r="B16" s="56" t="s">
        <v>298</v>
      </c>
      <c r="C16" s="185"/>
      <c r="D16" s="2">
        <v>4</v>
      </c>
      <c r="E16" s="2">
        <v>2</v>
      </c>
      <c r="F16" s="135">
        <v>27.15</v>
      </c>
      <c r="G16" s="57">
        <f>D16*E16*F16</f>
        <v>217.2</v>
      </c>
      <c r="H16" s="57">
        <f>TRUNC(($C$14*G16),2)</f>
        <v>217.2</v>
      </c>
      <c r="I16" s="57">
        <f>TRUNC((H16/12),2)</f>
        <v>18.100000000000001</v>
      </c>
    </row>
    <row r="17" spans="1:9" ht="43.5" customHeight="1" x14ac:dyDescent="0.3">
      <c r="A17" s="2">
        <v>4</v>
      </c>
      <c r="B17" s="56" t="s">
        <v>299</v>
      </c>
      <c r="C17" s="185"/>
      <c r="D17" s="2">
        <v>2</v>
      </c>
      <c r="E17" s="2">
        <v>2</v>
      </c>
      <c r="F17" s="135">
        <v>142.19999999999999</v>
      </c>
      <c r="G17" s="57">
        <f>D17*E17*F17</f>
        <v>568.79999999999995</v>
      </c>
      <c r="H17" s="57">
        <f>TRUNC(($C$14*G17),2)</f>
        <v>568.79999999999995</v>
      </c>
      <c r="I17" s="57">
        <f>TRUNC((H17/12),2)</f>
        <v>47.4</v>
      </c>
    </row>
    <row r="18" spans="1:9" x14ac:dyDescent="0.3">
      <c r="A18" s="2">
        <v>5</v>
      </c>
      <c r="B18" s="1" t="s">
        <v>300</v>
      </c>
      <c r="C18" s="185"/>
      <c r="D18" s="2">
        <v>1</v>
      </c>
      <c r="E18" s="2">
        <v>2</v>
      </c>
      <c r="F18" s="135">
        <v>126.77</v>
      </c>
      <c r="G18" s="57">
        <f>D18*E18*F18</f>
        <v>253.54</v>
      </c>
      <c r="H18" s="57">
        <f>TRUNC(($C$14*G18),2)</f>
        <v>253.54</v>
      </c>
      <c r="I18" s="57">
        <f>TRUNC((H18/12),2)</f>
        <v>21.12</v>
      </c>
    </row>
    <row r="19" spans="1:9" x14ac:dyDescent="0.3">
      <c r="A19" s="58"/>
      <c r="B19" s="187" t="s">
        <v>53</v>
      </c>
      <c r="C19" s="187"/>
      <c r="D19" s="187"/>
      <c r="E19" s="187"/>
      <c r="F19" s="59">
        <f>SUM(F14:F18)</f>
        <v>461.69999999999993</v>
      </c>
      <c r="G19" s="59">
        <f>SUM(G14:G18)</f>
        <v>2021.3</v>
      </c>
      <c r="H19" s="59">
        <f>SUM(H14:H18)</f>
        <v>2021.3</v>
      </c>
      <c r="I19" s="62">
        <f>SUM(I14:I18)</f>
        <v>168.43</v>
      </c>
    </row>
    <row r="20" spans="1:9" x14ac:dyDescent="0.3">
      <c r="A20" s="61"/>
      <c r="B20" s="61"/>
      <c r="C20" s="61"/>
      <c r="D20" s="61"/>
      <c r="E20" s="61"/>
      <c r="F20" s="61"/>
      <c r="G20" s="61"/>
      <c r="H20" s="61"/>
      <c r="I20" s="61"/>
    </row>
    <row r="21" spans="1:9" x14ac:dyDescent="0.3">
      <c r="A21" s="178" t="s">
        <v>301</v>
      </c>
      <c r="B21" s="178"/>
      <c r="C21" s="178"/>
      <c r="D21" s="178"/>
      <c r="E21" s="178"/>
      <c r="F21" s="178"/>
      <c r="G21" s="178"/>
      <c r="H21" s="178"/>
      <c r="I21" s="178"/>
    </row>
    <row r="22" spans="1:9" ht="54.75" customHeight="1" x14ac:dyDescent="0.3">
      <c r="A22" s="13" t="s">
        <v>1</v>
      </c>
      <c r="B22" s="13" t="s">
        <v>281</v>
      </c>
      <c r="C22" s="13" t="s">
        <v>282</v>
      </c>
      <c r="D22" s="13" t="s">
        <v>283</v>
      </c>
      <c r="E22" s="13" t="s">
        <v>284</v>
      </c>
      <c r="F22" s="13" t="s">
        <v>285</v>
      </c>
      <c r="G22" s="13" t="s">
        <v>286</v>
      </c>
      <c r="H22" s="13" t="s">
        <v>287</v>
      </c>
      <c r="I22" s="13" t="s">
        <v>288</v>
      </c>
    </row>
    <row r="23" spans="1:9" ht="15" customHeight="1" x14ac:dyDescent="0.3">
      <c r="A23" s="2" t="s">
        <v>302</v>
      </c>
      <c r="B23" s="164" t="s">
        <v>303</v>
      </c>
      <c r="C23" s="164"/>
      <c r="D23" s="164"/>
      <c r="E23" s="164"/>
      <c r="F23" s="48">
        <f>F10+F19</f>
        <v>957.38999999999987</v>
      </c>
      <c r="G23" s="48">
        <f>G10+G19</f>
        <v>4152.8</v>
      </c>
      <c r="H23" s="48">
        <f>H10+H19</f>
        <v>4152.8</v>
      </c>
      <c r="I23" s="134">
        <f>(I10+I19)/2</f>
        <v>173.01</v>
      </c>
    </row>
    <row r="24" spans="1:9" x14ac:dyDescent="0.3">
      <c r="A24" s="25"/>
      <c r="B24" s="25"/>
      <c r="C24" s="25"/>
      <c r="D24" s="25"/>
      <c r="E24" s="25"/>
      <c r="F24" s="25"/>
      <c r="G24" s="25"/>
      <c r="H24" s="25"/>
      <c r="I24" s="25"/>
    </row>
    <row r="25" spans="1:9" x14ac:dyDescent="0.3">
      <c r="A25" s="25"/>
      <c r="B25" s="25"/>
      <c r="C25" s="25"/>
      <c r="D25" s="25"/>
      <c r="E25" s="25"/>
      <c r="F25" s="25"/>
      <c r="G25" s="25"/>
      <c r="H25" s="25"/>
      <c r="I25" s="25"/>
    </row>
    <row r="26" spans="1:9" x14ac:dyDescent="0.3">
      <c r="A26" s="25"/>
      <c r="B26" s="25"/>
      <c r="C26" s="25"/>
      <c r="D26" s="25"/>
      <c r="E26" s="25"/>
      <c r="F26" s="25"/>
      <c r="G26" s="25"/>
      <c r="H26" s="25"/>
      <c r="I26" s="25"/>
    </row>
    <row r="27" spans="1:9" x14ac:dyDescent="0.3">
      <c r="A27" s="178" t="s">
        <v>304</v>
      </c>
      <c r="B27" s="178"/>
      <c r="C27" s="178"/>
      <c r="D27" s="178"/>
      <c r="E27" s="178"/>
      <c r="F27" s="178"/>
      <c r="G27" s="178"/>
      <c r="H27" s="178"/>
      <c r="I27" s="178"/>
    </row>
    <row r="28" spans="1:9" ht="55.5" customHeight="1" x14ac:dyDescent="0.3">
      <c r="A28" s="13" t="s">
        <v>1</v>
      </c>
      <c r="B28" s="13" t="s">
        <v>281</v>
      </c>
      <c r="C28" s="13" t="s">
        <v>282</v>
      </c>
      <c r="D28" s="13" t="s">
        <v>283</v>
      </c>
      <c r="E28" s="13" t="s">
        <v>284</v>
      </c>
      <c r="F28" s="13" t="s">
        <v>285</v>
      </c>
      <c r="G28" s="13" t="s">
        <v>286</v>
      </c>
      <c r="H28" s="13" t="s">
        <v>287</v>
      </c>
      <c r="I28" s="13" t="s">
        <v>288</v>
      </c>
    </row>
    <row r="29" spans="1:9" ht="20.25" customHeight="1" x14ac:dyDescent="0.3">
      <c r="A29" s="2">
        <v>1</v>
      </c>
      <c r="B29" s="1" t="s">
        <v>305</v>
      </c>
      <c r="C29" s="185">
        <v>1</v>
      </c>
      <c r="D29" s="5">
        <v>3</v>
      </c>
      <c r="E29" s="2">
        <v>2</v>
      </c>
      <c r="F29" s="135">
        <v>57.67</v>
      </c>
      <c r="G29" s="57">
        <f>D29*E29*F29</f>
        <v>346.02</v>
      </c>
      <c r="H29" s="57">
        <f>TRUNC(($C$29*G29),2)</f>
        <v>346.02</v>
      </c>
      <c r="I29" s="57">
        <f>TRUNC((H29/12),2)</f>
        <v>28.83</v>
      </c>
    </row>
    <row r="30" spans="1:9" x14ac:dyDescent="0.3">
      <c r="A30" s="2">
        <v>2</v>
      </c>
      <c r="B30" s="56" t="s">
        <v>306</v>
      </c>
      <c r="C30" s="185"/>
      <c r="D30" s="5">
        <v>4</v>
      </c>
      <c r="E30" s="2">
        <v>2</v>
      </c>
      <c r="F30" s="135">
        <v>63.45</v>
      </c>
      <c r="G30" s="57">
        <f>D30*E30*F30</f>
        <v>507.6</v>
      </c>
      <c r="H30" s="57">
        <f>TRUNC(($C$29*G30),2)</f>
        <v>507.6</v>
      </c>
      <c r="I30" s="57">
        <f>TRUNC((H30/12),2)</f>
        <v>42.3</v>
      </c>
    </row>
    <row r="31" spans="1:9" ht="44.25" customHeight="1" x14ac:dyDescent="0.3">
      <c r="A31" s="2">
        <v>3</v>
      </c>
      <c r="B31" s="56" t="s">
        <v>307</v>
      </c>
      <c r="C31" s="185"/>
      <c r="D31" s="5">
        <v>1</v>
      </c>
      <c r="E31" s="2">
        <v>2</v>
      </c>
      <c r="F31" s="135">
        <v>79.709999999999994</v>
      </c>
      <c r="G31" s="57">
        <f>D31*E31*F31</f>
        <v>159.41999999999999</v>
      </c>
      <c r="H31" s="57">
        <f>TRUNC(($C$29*G31),2)</f>
        <v>159.41999999999999</v>
      </c>
      <c r="I31" s="57">
        <f>TRUNC((H31/12),2)</f>
        <v>13.28</v>
      </c>
    </row>
    <row r="32" spans="1:9" ht="33.75" customHeight="1" x14ac:dyDescent="0.3">
      <c r="A32" s="2">
        <v>4</v>
      </c>
      <c r="B32" s="56" t="s">
        <v>308</v>
      </c>
      <c r="C32" s="185"/>
      <c r="D32" s="5">
        <v>4</v>
      </c>
      <c r="E32" s="2">
        <v>2</v>
      </c>
      <c r="F32" s="135">
        <v>9.23</v>
      </c>
      <c r="G32" s="57">
        <f>D32*E32*F32</f>
        <v>73.84</v>
      </c>
      <c r="H32" s="57">
        <f>TRUNC(($C$29*G32),2)</f>
        <v>73.84</v>
      </c>
      <c r="I32" s="57">
        <f>TRUNC((H32/12),2)</f>
        <v>6.15</v>
      </c>
    </row>
    <row r="33" spans="1:9" ht="33" customHeight="1" x14ac:dyDescent="0.3">
      <c r="A33" s="2">
        <v>5</v>
      </c>
      <c r="B33" s="56" t="s">
        <v>309</v>
      </c>
      <c r="C33" s="185"/>
      <c r="D33" s="5">
        <v>1</v>
      </c>
      <c r="E33" s="2">
        <v>1</v>
      </c>
      <c r="F33" s="135">
        <v>69.760000000000005</v>
      </c>
      <c r="G33" s="57">
        <f>D33*E33*F33</f>
        <v>69.760000000000005</v>
      </c>
      <c r="H33" s="57">
        <f>TRUNC(($C$29*G33),2)</f>
        <v>69.760000000000005</v>
      </c>
      <c r="I33" s="57">
        <f>TRUNC((H33/12),2)</f>
        <v>5.81</v>
      </c>
    </row>
    <row r="34" spans="1:9" x14ac:dyDescent="0.3">
      <c r="A34" s="2"/>
      <c r="B34" s="186" t="s">
        <v>53</v>
      </c>
      <c r="C34" s="186"/>
      <c r="D34" s="186"/>
      <c r="E34" s="186"/>
      <c r="F34" s="48">
        <f>SUM(F29:F33)</f>
        <v>279.82</v>
      </c>
      <c r="G34" s="48">
        <f>SUM(G29:G33)</f>
        <v>1156.6399999999999</v>
      </c>
      <c r="H34" s="48">
        <f>SUM(H29:H33)</f>
        <v>1156.6399999999999</v>
      </c>
      <c r="I34" s="134">
        <f>SUM(I29:I33)</f>
        <v>96.37</v>
      </c>
    </row>
    <row r="35" spans="1:9" x14ac:dyDescent="0.3">
      <c r="A35" s="26"/>
      <c r="B35" s="26"/>
      <c r="C35" s="26"/>
      <c r="D35" s="26"/>
      <c r="E35" s="26"/>
      <c r="F35" s="26"/>
      <c r="G35" s="26"/>
      <c r="H35" s="26"/>
      <c r="I35" s="26"/>
    </row>
    <row r="36" spans="1:9" x14ac:dyDescent="0.3">
      <c r="A36" s="26"/>
      <c r="B36" s="26"/>
      <c r="C36" s="26"/>
      <c r="D36" s="26"/>
      <c r="E36" s="26"/>
      <c r="F36" s="26"/>
      <c r="G36" s="26"/>
      <c r="H36" s="26"/>
      <c r="I36" s="26"/>
    </row>
    <row r="37" spans="1:9" x14ac:dyDescent="0.3">
      <c r="A37" s="26"/>
      <c r="B37" s="26"/>
      <c r="C37" s="26"/>
      <c r="D37" s="26"/>
      <c r="E37" s="26"/>
      <c r="F37" s="26"/>
      <c r="G37" s="26"/>
      <c r="H37" s="26"/>
      <c r="I37" s="26"/>
    </row>
    <row r="38" spans="1:9" x14ac:dyDescent="0.3">
      <c r="A38" s="26"/>
      <c r="B38" s="26"/>
      <c r="C38" s="26"/>
      <c r="D38" s="26"/>
      <c r="E38" s="26"/>
      <c r="F38" s="26"/>
      <c r="G38" s="26"/>
      <c r="H38" s="26"/>
      <c r="I38" s="26"/>
    </row>
  </sheetData>
  <sheetProtection sheet="1" objects="1" scenarios="1"/>
  <protectedRanges>
    <protectedRange sqref="F4:F9 F14 F15 F16 F17 F18 F29 F30 F31 F32 F33" name="Intervalo1"/>
  </protectedRanges>
  <mergeCells count="12">
    <mergeCell ref="A1:I1"/>
    <mergeCell ref="A2:I2"/>
    <mergeCell ref="C4:C9"/>
    <mergeCell ref="B10:E10"/>
    <mergeCell ref="A12:I12"/>
    <mergeCell ref="C29:C33"/>
    <mergeCell ref="B34:E34"/>
    <mergeCell ref="C14:C18"/>
    <mergeCell ref="B19:E19"/>
    <mergeCell ref="A21:I21"/>
    <mergeCell ref="B23:E23"/>
    <mergeCell ref="A27:I27"/>
  </mergeCells>
  <pageMargins left="0.7" right="0.7" top="0.75" bottom="0.75"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1"/>
  <sheetViews>
    <sheetView zoomScale="90" zoomScaleNormal="90" workbookViewId="0">
      <selection activeCell="E8" sqref="E8"/>
    </sheetView>
  </sheetViews>
  <sheetFormatPr defaultColWidth="8.6640625" defaultRowHeight="14.4" x14ac:dyDescent="0.3"/>
  <cols>
    <col min="2" max="2" width="40.6640625" customWidth="1"/>
    <col min="3" max="3" width="21.44140625" customWidth="1"/>
    <col min="4" max="4" width="20.33203125" customWidth="1"/>
    <col min="5" max="5" width="29.6640625" customWidth="1"/>
  </cols>
  <sheetData>
    <row r="1" spans="1:5" s="63" customFormat="1" ht="19.5" customHeight="1" x14ac:dyDescent="0.3">
      <c r="A1" s="182" t="s">
        <v>310</v>
      </c>
      <c r="B1" s="182"/>
      <c r="C1" s="182"/>
      <c r="D1" s="182"/>
      <c r="E1" s="182"/>
    </row>
    <row r="2" spans="1:5" s="63" customFormat="1" ht="19.5" customHeight="1" x14ac:dyDescent="0.3">
      <c r="A2" s="13" t="s">
        <v>1</v>
      </c>
      <c r="B2" s="13" t="s">
        <v>311</v>
      </c>
      <c r="C2" s="13" t="s">
        <v>90</v>
      </c>
      <c r="D2" s="13" t="s">
        <v>62</v>
      </c>
      <c r="E2" s="13" t="s">
        <v>68</v>
      </c>
    </row>
    <row r="3" spans="1:5" s="63" customFormat="1" ht="19.5" customHeight="1" x14ac:dyDescent="0.3">
      <c r="A3" s="7">
        <v>1</v>
      </c>
      <c r="B3" s="56" t="s">
        <v>312</v>
      </c>
      <c r="C3" s="136">
        <v>41.98</v>
      </c>
      <c r="D3" s="7">
        <v>1</v>
      </c>
      <c r="E3" s="38">
        <f>C3*D3</f>
        <v>41.98</v>
      </c>
    </row>
    <row r="4" spans="1:5" s="63" customFormat="1" ht="19.5" customHeight="1" x14ac:dyDescent="0.3">
      <c r="A4" s="7">
        <v>2</v>
      </c>
      <c r="B4" s="56" t="s">
        <v>313</v>
      </c>
      <c r="C4" s="136">
        <v>20.87</v>
      </c>
      <c r="D4" s="7">
        <v>1</v>
      </c>
      <c r="E4" s="38">
        <f>C4*D4</f>
        <v>20.87</v>
      </c>
    </row>
    <row r="5" spans="1:5" s="63" customFormat="1" ht="19.5" customHeight="1" x14ac:dyDescent="0.3">
      <c r="A5" s="7"/>
      <c r="B5" s="7"/>
      <c r="C5" s="7"/>
      <c r="D5" s="7"/>
      <c r="E5" s="7"/>
    </row>
    <row r="6" spans="1:5" s="63" customFormat="1" ht="19.5" customHeight="1" x14ac:dyDescent="0.3">
      <c r="A6" s="13" t="s">
        <v>53</v>
      </c>
      <c r="B6" s="7"/>
      <c r="C6" s="64">
        <f>SUM(C3:C4)</f>
        <v>62.849999999999994</v>
      </c>
      <c r="D6" s="7"/>
      <c r="E6" s="64">
        <f>SUM(E3:E4)</f>
        <v>62.849999999999994</v>
      </c>
    </row>
    <row r="7" spans="1:5" s="63" customFormat="1" ht="19.5" customHeight="1" x14ac:dyDescent="0.3">
      <c r="A7" s="25"/>
      <c r="B7" s="25"/>
      <c r="C7" s="25"/>
      <c r="D7" s="25"/>
      <c r="E7" s="25"/>
    </row>
    <row r="8" spans="1:5" s="63" customFormat="1" ht="19.5" customHeight="1" x14ac:dyDescent="0.3">
      <c r="A8" s="25"/>
      <c r="B8" s="25"/>
      <c r="C8" s="188" t="s">
        <v>111</v>
      </c>
      <c r="D8" s="188"/>
      <c r="E8" s="134">
        <f>TRUNC((E6/12),2)</f>
        <v>5.23</v>
      </c>
    </row>
    <row r="9" spans="1:5" x14ac:dyDescent="0.3">
      <c r="A9" s="65"/>
      <c r="B9" s="65"/>
      <c r="C9" s="65"/>
      <c r="D9" s="65"/>
      <c r="E9" s="65"/>
    </row>
    <row r="10" spans="1:5" x14ac:dyDescent="0.3">
      <c r="A10" s="66"/>
      <c r="B10" s="66"/>
      <c r="C10" s="66"/>
      <c r="D10" s="66"/>
      <c r="E10" s="66"/>
    </row>
    <row r="11" spans="1:5" x14ac:dyDescent="0.3">
      <c r="A11" s="66"/>
      <c r="B11" s="66"/>
      <c r="C11" s="66"/>
      <c r="D11" s="66"/>
      <c r="E11" s="66"/>
    </row>
  </sheetData>
  <sheetProtection sheet="1" objects="1" scenarios="1"/>
  <protectedRanges>
    <protectedRange sqref="C3 C4" name="Intervalo1"/>
  </protectedRanges>
  <mergeCells count="2">
    <mergeCell ref="A1:E1"/>
    <mergeCell ref="C8:D8"/>
  </mergeCells>
  <pageMargins left="0.7" right="0.7" top="0.75" bottom="0.75" header="0.511811023622047" footer="0.511811023622047"/>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40"/>
  <sheetViews>
    <sheetView zoomScale="130" zoomScaleNormal="130" workbookViewId="0">
      <selection activeCell="A20" sqref="A20:F2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15"/>
      <c r="B1" s="215"/>
      <c r="C1" s="215"/>
      <c r="D1" s="215"/>
      <c r="E1" s="215"/>
      <c r="F1" s="215"/>
    </row>
    <row r="2" spans="1:6" x14ac:dyDescent="0.3">
      <c r="A2" s="215"/>
      <c r="B2" s="215"/>
      <c r="C2" s="215"/>
      <c r="D2" s="215"/>
      <c r="E2" s="215"/>
      <c r="F2" s="215"/>
    </row>
    <row r="3" spans="1:6" x14ac:dyDescent="0.3">
      <c r="A3" s="215"/>
      <c r="B3" s="215"/>
      <c r="C3" s="215"/>
      <c r="D3" s="215"/>
      <c r="E3" s="215"/>
      <c r="F3" s="215"/>
    </row>
    <row r="4" spans="1:6" x14ac:dyDescent="0.3">
      <c r="A4" s="215"/>
      <c r="B4" s="215"/>
      <c r="C4" s="215"/>
      <c r="D4" s="215"/>
      <c r="E4" s="215"/>
      <c r="F4" s="215"/>
    </row>
    <row r="5" spans="1:6" x14ac:dyDescent="0.3">
      <c r="A5" s="215"/>
      <c r="B5" s="215"/>
      <c r="C5" s="215"/>
      <c r="D5" s="215"/>
      <c r="E5" s="215"/>
      <c r="F5" s="215"/>
    </row>
    <row r="6" spans="1:6" x14ac:dyDescent="0.3">
      <c r="A6" s="215"/>
      <c r="B6" s="215"/>
      <c r="C6" s="215"/>
      <c r="D6" s="215"/>
      <c r="E6" s="215"/>
      <c r="F6" s="215"/>
    </row>
    <row r="7" spans="1:6" x14ac:dyDescent="0.3">
      <c r="A7" s="206"/>
      <c r="B7" s="206"/>
      <c r="C7" s="206"/>
      <c r="D7" s="206"/>
      <c r="E7" s="206"/>
      <c r="F7" s="206"/>
    </row>
    <row r="8" spans="1:6" x14ac:dyDescent="0.3">
      <c r="A8" s="205" t="s">
        <v>314</v>
      </c>
      <c r="B8" s="205"/>
      <c r="C8" s="205"/>
      <c r="D8" s="205"/>
      <c r="E8" s="205"/>
      <c r="F8" s="205"/>
    </row>
    <row r="9" spans="1:6" x14ac:dyDescent="0.3">
      <c r="A9" s="209" t="s">
        <v>315</v>
      </c>
      <c r="B9" s="209"/>
      <c r="C9" s="216" t="s">
        <v>316</v>
      </c>
      <c r="D9" s="216"/>
      <c r="E9" s="216"/>
      <c r="F9" s="216"/>
    </row>
    <row r="10" spans="1:6" x14ac:dyDescent="0.3">
      <c r="A10" s="210" t="s">
        <v>317</v>
      </c>
      <c r="B10" s="210"/>
      <c r="C10" s="217" t="s">
        <v>318</v>
      </c>
      <c r="D10" s="217"/>
      <c r="E10" s="217"/>
      <c r="F10" s="217"/>
    </row>
    <row r="11" spans="1:6" x14ac:dyDescent="0.3">
      <c r="A11" s="206"/>
      <c r="B11" s="206"/>
      <c r="C11" s="206"/>
      <c r="D11" s="206"/>
      <c r="E11" s="206"/>
      <c r="F11" s="206"/>
    </row>
    <row r="12" spans="1:6" x14ac:dyDescent="0.3">
      <c r="A12" s="205" t="s">
        <v>319</v>
      </c>
      <c r="B12" s="205"/>
      <c r="C12" s="205"/>
      <c r="D12" s="205"/>
      <c r="E12" s="205"/>
      <c r="F12" s="205"/>
    </row>
    <row r="13" spans="1:6" x14ac:dyDescent="0.3">
      <c r="A13" s="209" t="s">
        <v>320</v>
      </c>
      <c r="B13" s="209"/>
      <c r="C13" s="213" t="s">
        <v>321</v>
      </c>
      <c r="D13" s="213"/>
      <c r="E13" s="213"/>
      <c r="F13" s="213"/>
    </row>
    <row r="14" spans="1:6" x14ac:dyDescent="0.3">
      <c r="A14" s="210" t="s">
        <v>322</v>
      </c>
      <c r="B14" s="210"/>
      <c r="C14" s="210" t="s">
        <v>323</v>
      </c>
      <c r="D14" s="210"/>
      <c r="E14" s="210"/>
      <c r="F14" s="210"/>
    </row>
    <row r="15" spans="1:6" ht="16.5" customHeight="1" x14ac:dyDescent="0.3">
      <c r="A15" s="166" t="s">
        <v>324</v>
      </c>
      <c r="B15" s="166"/>
      <c r="C15" s="214" t="s">
        <v>325</v>
      </c>
      <c r="D15" s="214"/>
      <c r="E15" s="214"/>
      <c r="F15" s="214"/>
    </row>
    <row r="16" spans="1:6" x14ac:dyDescent="0.3">
      <c r="A16" s="166"/>
      <c r="B16" s="166"/>
      <c r="C16" s="214" t="s">
        <v>326</v>
      </c>
      <c r="D16" s="214"/>
      <c r="E16" s="214"/>
      <c r="F16" s="214"/>
    </row>
    <row r="17" spans="1:10" x14ac:dyDescent="0.3">
      <c r="A17" s="166"/>
      <c r="B17" s="166"/>
      <c r="C17" s="214" t="s">
        <v>327</v>
      </c>
      <c r="D17" s="214"/>
      <c r="E17" s="214"/>
      <c r="F17" s="214"/>
    </row>
    <row r="18" spans="1:10" x14ac:dyDescent="0.3">
      <c r="A18" s="210" t="s">
        <v>328</v>
      </c>
      <c r="B18" s="210"/>
      <c r="C18" s="210">
        <v>12</v>
      </c>
      <c r="D18" s="210"/>
      <c r="E18" s="210"/>
      <c r="F18" s="210"/>
    </row>
    <row r="19" spans="1:10" x14ac:dyDescent="0.3">
      <c r="A19" s="206"/>
      <c r="B19" s="206"/>
      <c r="C19" s="206"/>
      <c r="D19" s="206"/>
      <c r="E19" s="206"/>
      <c r="F19" s="206"/>
    </row>
    <row r="20" spans="1:10" x14ac:dyDescent="0.3">
      <c r="A20" s="205" t="s">
        <v>329</v>
      </c>
      <c r="B20" s="205"/>
      <c r="C20" s="205"/>
      <c r="D20" s="205"/>
      <c r="E20" s="205"/>
      <c r="F20" s="205"/>
    </row>
    <row r="21" spans="1:10" x14ac:dyDescent="0.3">
      <c r="A21" s="209" t="s">
        <v>330</v>
      </c>
      <c r="B21" s="209"/>
      <c r="C21" s="209" t="s">
        <v>331</v>
      </c>
      <c r="D21" s="209"/>
      <c r="E21" s="209"/>
      <c r="F21" s="209"/>
    </row>
    <row r="22" spans="1:10" ht="27" customHeight="1" x14ac:dyDescent="0.3">
      <c r="A22" s="162" t="s">
        <v>332</v>
      </c>
      <c r="B22" s="162"/>
      <c r="C22" s="210">
        <v>1</v>
      </c>
      <c r="D22" s="210"/>
      <c r="E22" s="210"/>
      <c r="F22" s="210"/>
    </row>
    <row r="23" spans="1:10" x14ac:dyDescent="0.3">
      <c r="A23" s="206"/>
      <c r="B23" s="206"/>
      <c r="C23" s="206"/>
      <c r="D23" s="206"/>
      <c r="E23" s="206"/>
      <c r="F23" s="206"/>
    </row>
    <row r="24" spans="1:10" x14ac:dyDescent="0.3">
      <c r="A24" s="205" t="s">
        <v>333</v>
      </c>
      <c r="B24" s="205"/>
      <c r="C24" s="205"/>
      <c r="D24" s="205"/>
      <c r="E24" s="205"/>
      <c r="F24" s="205"/>
    </row>
    <row r="25" spans="1:10" x14ac:dyDescent="0.3">
      <c r="A25" s="210" t="s">
        <v>334</v>
      </c>
      <c r="B25" s="210"/>
      <c r="C25" s="210"/>
      <c r="D25" s="210"/>
      <c r="E25" s="210"/>
      <c r="F25" s="210"/>
    </row>
    <row r="26" spans="1:10" ht="21" customHeight="1" x14ac:dyDescent="0.3">
      <c r="A26" s="166" t="s">
        <v>335</v>
      </c>
      <c r="B26" s="166"/>
      <c r="C26" s="209" t="s">
        <v>25</v>
      </c>
      <c r="D26" s="209"/>
      <c r="E26" s="209"/>
      <c r="F26" s="209"/>
    </row>
    <row r="27" spans="1:10" x14ac:dyDescent="0.3">
      <c r="A27" s="210" t="s">
        <v>336</v>
      </c>
      <c r="B27" s="210"/>
      <c r="C27" s="211" t="s">
        <v>337</v>
      </c>
      <c r="D27" s="211"/>
      <c r="E27" s="211"/>
      <c r="F27" s="211"/>
    </row>
    <row r="28" spans="1:10" x14ac:dyDescent="0.3">
      <c r="A28" s="209" t="s">
        <v>338</v>
      </c>
      <c r="B28" s="209"/>
      <c r="C28" s="212">
        <f>'Salários.VA.VT.QteDias.LDI.T'!C3</f>
        <v>2371.3200000000002</v>
      </c>
      <c r="D28" s="212"/>
      <c r="E28" s="212"/>
      <c r="F28" s="212"/>
    </row>
    <row r="29" spans="1:10" ht="24.75" customHeight="1" x14ac:dyDescent="0.3">
      <c r="A29" s="162" t="s">
        <v>339</v>
      </c>
      <c r="B29" s="162"/>
      <c r="C29" s="210" t="s">
        <v>340</v>
      </c>
      <c r="D29" s="210"/>
      <c r="E29" s="210"/>
      <c r="F29" s="210"/>
      <c r="J29" s="69"/>
    </row>
    <row r="30" spans="1:10" x14ac:dyDescent="0.3">
      <c r="A30" s="209" t="s">
        <v>341</v>
      </c>
      <c r="B30" s="209"/>
      <c r="C30" s="213" t="s">
        <v>342</v>
      </c>
      <c r="D30" s="213"/>
      <c r="E30" s="213"/>
      <c r="F30" s="213"/>
    </row>
    <row r="31" spans="1:10" x14ac:dyDescent="0.3">
      <c r="A31" s="207" t="s">
        <v>343</v>
      </c>
      <c r="B31" s="207"/>
      <c r="C31" s="207"/>
      <c r="D31" s="207"/>
      <c r="E31" s="207"/>
      <c r="F31" s="207"/>
    </row>
    <row r="32" spans="1:10" x14ac:dyDescent="0.3">
      <c r="A32" s="205" t="s">
        <v>344</v>
      </c>
      <c r="B32" s="205"/>
      <c r="C32" s="205"/>
      <c r="D32" s="205"/>
      <c r="E32" s="205"/>
      <c r="F32" s="205"/>
    </row>
    <row r="33" spans="1:6" x14ac:dyDescent="0.3">
      <c r="A33" s="70" t="s">
        <v>1</v>
      </c>
      <c r="B33" s="208" t="s">
        <v>345</v>
      </c>
      <c r="C33" s="208"/>
      <c r="D33" s="208"/>
      <c r="E33" s="208"/>
      <c r="F33" s="71" t="s">
        <v>346</v>
      </c>
    </row>
    <row r="34" spans="1:6" x14ac:dyDescent="0.3">
      <c r="A34" s="72" t="s">
        <v>347</v>
      </c>
      <c r="B34" s="190" t="s">
        <v>348</v>
      </c>
      <c r="C34" s="190"/>
      <c r="D34" s="190"/>
      <c r="E34" s="190"/>
      <c r="F34" s="73">
        <f>$C$28</f>
        <v>2371.3200000000002</v>
      </c>
    </row>
    <row r="35" spans="1:6" x14ac:dyDescent="0.3">
      <c r="A35" s="74" t="s">
        <v>349</v>
      </c>
      <c r="B35" s="189" t="s">
        <v>350</v>
      </c>
      <c r="C35" s="189"/>
      <c r="D35" s="189"/>
      <c r="E35" s="189"/>
      <c r="F35" s="137">
        <v>0</v>
      </c>
    </row>
    <row r="36" spans="1:6" x14ac:dyDescent="0.3">
      <c r="A36" s="72" t="s">
        <v>351</v>
      </c>
      <c r="B36" s="194" t="s">
        <v>352</v>
      </c>
      <c r="C36" s="194"/>
      <c r="D36" s="194"/>
      <c r="E36" s="194"/>
      <c r="F36" s="138">
        <v>0</v>
      </c>
    </row>
    <row r="37" spans="1:6" x14ac:dyDescent="0.3">
      <c r="A37" s="74" t="s">
        <v>353</v>
      </c>
      <c r="B37" s="189" t="s">
        <v>354</v>
      </c>
      <c r="C37" s="189"/>
      <c r="D37" s="189"/>
      <c r="E37" s="189"/>
      <c r="F37" s="137">
        <v>0</v>
      </c>
    </row>
    <row r="38" spans="1:6" x14ac:dyDescent="0.3">
      <c r="A38" s="72" t="s">
        <v>355</v>
      </c>
      <c r="B38" s="190" t="s">
        <v>356</v>
      </c>
      <c r="C38" s="190"/>
      <c r="D38" s="190"/>
      <c r="E38" s="190"/>
      <c r="F38" s="138">
        <v>0</v>
      </c>
    </row>
    <row r="39" spans="1:6" x14ac:dyDescent="0.3">
      <c r="A39" s="74" t="s">
        <v>357</v>
      </c>
      <c r="B39" s="189" t="s">
        <v>358</v>
      </c>
      <c r="C39" s="189"/>
      <c r="D39" s="189"/>
      <c r="E39" s="189"/>
      <c r="F39" s="137">
        <v>0</v>
      </c>
    </row>
    <row r="40" spans="1:6" x14ac:dyDescent="0.3">
      <c r="A40" s="72" t="s">
        <v>359</v>
      </c>
      <c r="B40" s="190" t="s">
        <v>360</v>
      </c>
      <c r="C40" s="190"/>
      <c r="D40" s="190"/>
      <c r="E40" s="190"/>
      <c r="F40" s="138">
        <v>0</v>
      </c>
    </row>
    <row r="41" spans="1:6" x14ac:dyDescent="0.3">
      <c r="A41" s="205" t="s">
        <v>361</v>
      </c>
      <c r="B41" s="205"/>
      <c r="C41" s="205"/>
      <c r="D41" s="205"/>
      <c r="E41" s="205"/>
      <c r="F41" s="76">
        <f>TRUNC(SUM(F34:F40),2)</f>
        <v>2371.3200000000002</v>
      </c>
    </row>
    <row r="42" spans="1:6" x14ac:dyDescent="0.3">
      <c r="A42" s="206"/>
      <c r="B42" s="206"/>
      <c r="C42" s="206"/>
      <c r="D42" s="206"/>
      <c r="E42" s="206"/>
      <c r="F42" s="206"/>
    </row>
    <row r="43" spans="1:6" x14ac:dyDescent="0.3">
      <c r="A43" s="195" t="s">
        <v>362</v>
      </c>
      <c r="B43" s="195"/>
      <c r="C43" s="195"/>
      <c r="D43" s="195"/>
      <c r="E43" s="195"/>
      <c r="F43" s="195"/>
    </row>
    <row r="44" spans="1:6" x14ac:dyDescent="0.3">
      <c r="A44" s="196" t="s">
        <v>363</v>
      </c>
      <c r="B44" s="196"/>
      <c r="C44" s="196"/>
      <c r="D44" s="196"/>
      <c r="E44" s="196"/>
      <c r="F44" s="196"/>
    </row>
    <row r="45" spans="1:6" x14ac:dyDescent="0.3">
      <c r="A45" s="74" t="s">
        <v>364</v>
      </c>
      <c r="B45" s="200" t="s">
        <v>365</v>
      </c>
      <c r="C45" s="200"/>
      <c r="D45" s="200"/>
      <c r="E45" s="77" t="s">
        <v>366</v>
      </c>
      <c r="F45" s="77" t="s">
        <v>346</v>
      </c>
    </row>
    <row r="46" spans="1:6" x14ac:dyDescent="0.3">
      <c r="A46" s="72" t="s">
        <v>347</v>
      </c>
      <c r="B46" s="194" t="s">
        <v>367</v>
      </c>
      <c r="C46" s="194"/>
      <c r="D46" s="194"/>
      <c r="E46" s="78">
        <f>TRUNC((100/12),2)</f>
        <v>8.33</v>
      </c>
      <c r="F46" s="141">
        <f>TRUNC((F41*E46%),2)</f>
        <v>197.53</v>
      </c>
    </row>
    <row r="47" spans="1:6" x14ac:dyDescent="0.3">
      <c r="A47" s="74" t="s">
        <v>349</v>
      </c>
      <c r="B47" s="189" t="s">
        <v>368</v>
      </c>
      <c r="C47" s="189"/>
      <c r="D47" s="189"/>
      <c r="E47" s="79">
        <f>E46/3</f>
        <v>2.7766666666666668</v>
      </c>
      <c r="F47" s="75">
        <f>TRUNC((F41*E47%),2)</f>
        <v>65.84</v>
      </c>
    </row>
    <row r="48" spans="1:6" x14ac:dyDescent="0.3">
      <c r="A48" s="195" t="s">
        <v>369</v>
      </c>
      <c r="B48" s="195"/>
      <c r="C48" s="195"/>
      <c r="D48" s="195"/>
      <c r="E48" s="80">
        <f>SUM(E46:E47)</f>
        <v>11.106666666666667</v>
      </c>
      <c r="F48" s="81">
        <f>TRUNC((SUM(F46:F47)),2)</f>
        <v>263.37</v>
      </c>
    </row>
    <row r="49" spans="1:6" x14ac:dyDescent="0.3">
      <c r="A49" s="196" t="s">
        <v>370</v>
      </c>
      <c r="B49" s="196"/>
      <c r="C49" s="196"/>
      <c r="D49" s="196"/>
      <c r="E49" s="196"/>
      <c r="F49" s="196"/>
    </row>
    <row r="50" spans="1:6" x14ac:dyDescent="0.3">
      <c r="A50" s="74" t="s">
        <v>371</v>
      </c>
      <c r="B50" s="189" t="s">
        <v>372</v>
      </c>
      <c r="C50" s="189"/>
      <c r="D50" s="189"/>
      <c r="E50" s="77" t="s">
        <v>366</v>
      </c>
      <c r="F50" s="77" t="s">
        <v>346</v>
      </c>
    </row>
    <row r="51" spans="1:6" x14ac:dyDescent="0.3">
      <c r="A51" s="72" t="s">
        <v>347</v>
      </c>
      <c r="B51" s="190" t="s">
        <v>373</v>
      </c>
      <c r="C51" s="190"/>
      <c r="D51" s="190"/>
      <c r="E51" s="82">
        <v>0.2</v>
      </c>
      <c r="F51" s="73">
        <f t="shared" ref="F51:F58" si="0">TRUNC((($F$41+$F$48)*E51),2)</f>
        <v>526.92999999999995</v>
      </c>
    </row>
    <row r="52" spans="1:6" x14ac:dyDescent="0.3">
      <c r="A52" s="74" t="s">
        <v>349</v>
      </c>
      <c r="B52" s="189" t="s">
        <v>374</v>
      </c>
      <c r="C52" s="189"/>
      <c r="D52" s="189"/>
      <c r="E52" s="83">
        <v>2.5000000000000001E-2</v>
      </c>
      <c r="F52" s="75">
        <f t="shared" si="0"/>
        <v>65.86</v>
      </c>
    </row>
    <row r="53" spans="1:6" x14ac:dyDescent="0.3">
      <c r="A53" s="72" t="s">
        <v>351</v>
      </c>
      <c r="B53" s="190" t="s">
        <v>375</v>
      </c>
      <c r="C53" s="190"/>
      <c r="D53" s="190"/>
      <c r="E53" s="140">
        <v>0.03</v>
      </c>
      <c r="F53" s="73">
        <f t="shared" si="0"/>
        <v>79.040000000000006</v>
      </c>
    </row>
    <row r="54" spans="1:6" x14ac:dyDescent="0.3">
      <c r="A54" s="74" t="s">
        <v>353</v>
      </c>
      <c r="B54" s="189" t="s">
        <v>376</v>
      </c>
      <c r="C54" s="189"/>
      <c r="D54" s="189"/>
      <c r="E54" s="83">
        <v>1.4999999999999999E-2</v>
      </c>
      <c r="F54" s="75">
        <f t="shared" si="0"/>
        <v>39.520000000000003</v>
      </c>
    </row>
    <row r="55" spans="1:6" x14ac:dyDescent="0.3">
      <c r="A55" s="72" t="s">
        <v>355</v>
      </c>
      <c r="B55" s="190" t="s">
        <v>377</v>
      </c>
      <c r="C55" s="190"/>
      <c r="D55" s="190"/>
      <c r="E55" s="82">
        <v>0.01</v>
      </c>
      <c r="F55" s="73">
        <f t="shared" si="0"/>
        <v>26.34</v>
      </c>
    </row>
    <row r="56" spans="1:6" x14ac:dyDescent="0.3">
      <c r="A56" s="74" t="s">
        <v>357</v>
      </c>
      <c r="B56" s="189" t="s">
        <v>378</v>
      </c>
      <c r="C56" s="189"/>
      <c r="D56" s="189"/>
      <c r="E56" s="83">
        <v>6.0000000000000001E-3</v>
      </c>
      <c r="F56" s="75">
        <f t="shared" si="0"/>
        <v>15.8</v>
      </c>
    </row>
    <row r="57" spans="1:6" x14ac:dyDescent="0.3">
      <c r="A57" s="72" t="s">
        <v>359</v>
      </c>
      <c r="B57" s="190" t="s">
        <v>379</v>
      </c>
      <c r="C57" s="190"/>
      <c r="D57" s="190"/>
      <c r="E57" s="82">
        <v>2E-3</v>
      </c>
      <c r="F57" s="73">
        <f t="shared" si="0"/>
        <v>5.26</v>
      </c>
    </row>
    <row r="58" spans="1:6" x14ac:dyDescent="0.3">
      <c r="A58" s="74" t="s">
        <v>380</v>
      </c>
      <c r="B58" s="189" t="s">
        <v>381</v>
      </c>
      <c r="C58" s="189"/>
      <c r="D58" s="189"/>
      <c r="E58" s="83">
        <v>0.08</v>
      </c>
      <c r="F58" s="75">
        <f t="shared" si="0"/>
        <v>210.77</v>
      </c>
    </row>
    <row r="59" spans="1:6" x14ac:dyDescent="0.3">
      <c r="A59" s="195" t="s">
        <v>382</v>
      </c>
      <c r="B59" s="195"/>
      <c r="C59" s="195"/>
      <c r="D59" s="195"/>
      <c r="E59" s="84">
        <f>SUM(E51:E58)</f>
        <v>0.36800000000000005</v>
      </c>
      <c r="F59" s="81">
        <f>TRUNC((SUM(F51:F58)),2)</f>
        <v>969.52</v>
      </c>
    </row>
    <row r="60" spans="1:6" x14ac:dyDescent="0.3">
      <c r="A60" s="196" t="s">
        <v>383</v>
      </c>
      <c r="B60" s="196"/>
      <c r="C60" s="196"/>
      <c r="D60" s="196"/>
      <c r="E60" s="196"/>
      <c r="F60" s="196"/>
    </row>
    <row r="61" spans="1:6" x14ac:dyDescent="0.3">
      <c r="A61" s="10" t="s">
        <v>384</v>
      </c>
      <c r="B61" s="196" t="s">
        <v>385</v>
      </c>
      <c r="C61" s="196"/>
      <c r="D61" s="196"/>
      <c r="E61" s="196"/>
      <c r="F61" s="196"/>
    </row>
    <row r="62" spans="1:6" x14ac:dyDescent="0.3">
      <c r="A62" s="198" t="s">
        <v>347</v>
      </c>
      <c r="B62" s="74" t="s">
        <v>386</v>
      </c>
      <c r="C62" s="74" t="s">
        <v>387</v>
      </c>
      <c r="D62" s="74" t="s">
        <v>388</v>
      </c>
      <c r="E62" s="74" t="s">
        <v>389</v>
      </c>
      <c r="F62" s="74" t="s">
        <v>346</v>
      </c>
    </row>
    <row r="63" spans="1:6" x14ac:dyDescent="0.3">
      <c r="A63" s="198"/>
      <c r="B63" s="75">
        <f>'Salários.VA.VT.QteDias.LDI.T'!D19</f>
        <v>4</v>
      </c>
      <c r="C63" s="74">
        <v>2</v>
      </c>
      <c r="D63" s="74">
        <f>'Salários.VA.VT.QteDias.LDI.T'!C36</f>
        <v>21</v>
      </c>
      <c r="E63" s="75">
        <f>TRUNC(($F$34*6%),2)</f>
        <v>142.27000000000001</v>
      </c>
      <c r="F63" s="75">
        <f>TRUNC(IF(E63&gt;=168,0,((B63*C63*D63)-E63)),2)</f>
        <v>25.73</v>
      </c>
    </row>
    <row r="64" spans="1:6" x14ac:dyDescent="0.3">
      <c r="A64" s="191" t="s">
        <v>349</v>
      </c>
      <c r="B64" s="191" t="s">
        <v>390</v>
      </c>
      <c r="C64" s="191"/>
      <c r="D64" s="72" t="s">
        <v>388</v>
      </c>
      <c r="E64" s="72" t="s">
        <v>389</v>
      </c>
      <c r="F64" s="72" t="s">
        <v>346</v>
      </c>
    </row>
    <row r="65" spans="1:8" x14ac:dyDescent="0.3">
      <c r="A65" s="191"/>
      <c r="B65" s="204">
        <f>'Salários.VA.VT.QteDias.LDI.T'!C19</f>
        <v>26.7</v>
      </c>
      <c r="C65" s="204"/>
      <c r="D65" s="72">
        <f>'Salários.VA.VT.QteDias.LDI.T'!C36</f>
        <v>21</v>
      </c>
      <c r="E65" s="73">
        <f>TRUNC(0.1*(B65*D65),2)</f>
        <v>56.07</v>
      </c>
      <c r="F65" s="73">
        <f>TRUNC(((B65*D65)-E65),2)</f>
        <v>504.63</v>
      </c>
    </row>
    <row r="66" spans="1:8" x14ac:dyDescent="0.3">
      <c r="A66" s="198" t="s">
        <v>351</v>
      </c>
      <c r="B66" s="189" t="s">
        <v>391</v>
      </c>
      <c r="C66" s="189"/>
      <c r="D66" s="189"/>
      <c r="E66" s="189"/>
      <c r="F66" s="74" t="s">
        <v>346</v>
      </c>
    </row>
    <row r="67" spans="1:8" x14ac:dyDescent="0.3">
      <c r="A67" s="198"/>
      <c r="B67" s="189"/>
      <c r="C67" s="189"/>
      <c r="D67" s="189"/>
      <c r="E67" s="189"/>
      <c r="F67" s="137">
        <v>6</v>
      </c>
    </row>
    <row r="68" spans="1:8" x14ac:dyDescent="0.3">
      <c r="A68" s="191" t="s">
        <v>353</v>
      </c>
      <c r="B68" s="190" t="s">
        <v>392</v>
      </c>
      <c r="C68" s="190"/>
      <c r="D68" s="190"/>
      <c r="E68" s="190"/>
      <c r="F68" s="72" t="s">
        <v>346</v>
      </c>
    </row>
    <row r="69" spans="1:8" x14ac:dyDescent="0.3">
      <c r="A69" s="191"/>
      <c r="B69" s="190"/>
      <c r="C69" s="190"/>
      <c r="D69" s="190"/>
      <c r="E69" s="190"/>
      <c r="F69" s="138">
        <v>19.899999999999999</v>
      </c>
    </row>
    <row r="70" spans="1:8" x14ac:dyDescent="0.3">
      <c r="A70" s="198" t="s">
        <v>355</v>
      </c>
      <c r="B70" s="189" t="s">
        <v>360</v>
      </c>
      <c r="C70" s="189"/>
      <c r="D70" s="189"/>
      <c r="E70" s="189"/>
      <c r="F70" s="74" t="s">
        <v>346</v>
      </c>
    </row>
    <row r="71" spans="1:8" x14ac:dyDescent="0.3">
      <c r="A71" s="198"/>
      <c r="B71" s="189"/>
      <c r="C71" s="189"/>
      <c r="D71" s="189"/>
      <c r="E71" s="189"/>
      <c r="F71" s="137">
        <v>0</v>
      </c>
    </row>
    <row r="72" spans="1:8" x14ac:dyDescent="0.3">
      <c r="A72" s="195" t="s">
        <v>393</v>
      </c>
      <c r="B72" s="195"/>
      <c r="C72" s="195"/>
      <c r="D72" s="195"/>
      <c r="E72" s="195"/>
      <c r="F72" s="81">
        <f>TRUNC(SUM(F63,F65,F67,F69,F71),2)</f>
        <v>556.26</v>
      </c>
    </row>
    <row r="73" spans="1:8" x14ac:dyDescent="0.3">
      <c r="A73" s="196" t="s">
        <v>394</v>
      </c>
      <c r="B73" s="196"/>
      <c r="C73" s="196"/>
      <c r="D73" s="196"/>
      <c r="E73" s="196"/>
      <c r="F73" s="196"/>
    </row>
    <row r="74" spans="1:8" x14ac:dyDescent="0.3">
      <c r="A74" s="74" t="s">
        <v>395</v>
      </c>
      <c r="B74" s="200" t="s">
        <v>396</v>
      </c>
      <c r="C74" s="200"/>
      <c r="D74" s="200"/>
      <c r="E74" s="200"/>
      <c r="F74" s="74" t="s">
        <v>346</v>
      </c>
      <c r="H74" s="85"/>
    </row>
    <row r="75" spans="1:8" x14ac:dyDescent="0.3">
      <c r="A75" s="72" t="s">
        <v>364</v>
      </c>
      <c r="B75" s="190" t="s">
        <v>397</v>
      </c>
      <c r="C75" s="190"/>
      <c r="D75" s="190"/>
      <c r="E75" s="190"/>
      <c r="F75" s="73">
        <f>$F$48</f>
        <v>263.37</v>
      </c>
    </row>
    <row r="76" spans="1:8" x14ac:dyDescent="0.3">
      <c r="A76" s="74" t="s">
        <v>371</v>
      </c>
      <c r="B76" s="189" t="s">
        <v>398</v>
      </c>
      <c r="C76" s="189"/>
      <c r="D76" s="189"/>
      <c r="E76" s="189"/>
      <c r="F76" s="75">
        <f>$F$59</f>
        <v>969.52</v>
      </c>
    </row>
    <row r="77" spans="1:8" x14ac:dyDescent="0.3">
      <c r="A77" s="72" t="s">
        <v>384</v>
      </c>
      <c r="B77" s="190" t="s">
        <v>385</v>
      </c>
      <c r="C77" s="190"/>
      <c r="D77" s="190"/>
      <c r="E77" s="190"/>
      <c r="F77" s="73">
        <f>$F$72</f>
        <v>556.26</v>
      </c>
    </row>
    <row r="78" spans="1:8" x14ac:dyDescent="0.3">
      <c r="A78" s="195" t="s">
        <v>399</v>
      </c>
      <c r="B78" s="195"/>
      <c r="C78" s="195"/>
      <c r="D78" s="195"/>
      <c r="E78" s="195"/>
      <c r="F78" s="81">
        <f>TRUNC(SUM(F75:F77),2)</f>
        <v>1789.15</v>
      </c>
    </row>
    <row r="79" spans="1:8" x14ac:dyDescent="0.3">
      <c r="A79" s="192"/>
      <c r="B79" s="192"/>
      <c r="C79" s="192"/>
      <c r="D79" s="192"/>
      <c r="E79" s="192"/>
      <c r="F79" s="192"/>
    </row>
    <row r="80" spans="1:8" x14ac:dyDescent="0.3">
      <c r="A80" s="195" t="s">
        <v>400</v>
      </c>
      <c r="B80" s="195"/>
      <c r="C80" s="195"/>
      <c r="D80" s="195"/>
      <c r="E80" s="195"/>
      <c r="F80" s="195"/>
    </row>
    <row r="81" spans="1:6" x14ac:dyDescent="0.3">
      <c r="A81" s="74">
        <v>3</v>
      </c>
      <c r="B81" s="200" t="s">
        <v>401</v>
      </c>
      <c r="C81" s="200"/>
      <c r="D81" s="200"/>
      <c r="E81" s="77" t="s">
        <v>366</v>
      </c>
      <c r="F81" s="77" t="s">
        <v>346</v>
      </c>
    </row>
    <row r="82" spans="1:6" x14ac:dyDescent="0.3">
      <c r="A82" s="72" t="s">
        <v>347</v>
      </c>
      <c r="B82" s="190" t="s">
        <v>402</v>
      </c>
      <c r="C82" s="190"/>
      <c r="D82" s="190"/>
      <c r="E82" s="140">
        <f>(56.24%)*5.55%*(1/12)</f>
        <v>2.6010999999999999E-3</v>
      </c>
      <c r="F82" s="73">
        <f>TRUNC((($F$41+$F$48)*E82),2)</f>
        <v>6.85</v>
      </c>
    </row>
    <row r="83" spans="1:6" x14ac:dyDescent="0.3">
      <c r="A83" s="74" t="s">
        <v>349</v>
      </c>
      <c r="B83" s="189" t="s">
        <v>403</v>
      </c>
      <c r="C83" s="189"/>
      <c r="D83" s="189"/>
      <c r="E83" s="139">
        <f>(8%*0.29%)</f>
        <v>2.32E-4</v>
      </c>
      <c r="F83" s="87">
        <f>TRUNC((($F$41+$F$48)*E83),2)</f>
        <v>0.61</v>
      </c>
    </row>
    <row r="84" spans="1:6" x14ac:dyDescent="0.3">
      <c r="A84" s="72" t="s">
        <v>351</v>
      </c>
      <c r="B84" s="190" t="s">
        <v>404</v>
      </c>
      <c r="C84" s="190"/>
      <c r="D84" s="190"/>
      <c r="E84" s="140">
        <f>(56.24%)*5.55%*40%*8%</f>
        <v>9.9882240000000004E-4</v>
      </c>
      <c r="F84" s="73">
        <f>TRUNC((($F$41+$F$48)*E84),2)</f>
        <v>2.63</v>
      </c>
    </row>
    <row r="85" spans="1:6" x14ac:dyDescent="0.3">
      <c r="A85" s="74" t="s">
        <v>353</v>
      </c>
      <c r="B85" s="203" t="s">
        <v>405</v>
      </c>
      <c r="C85" s="203"/>
      <c r="D85" s="203"/>
      <c r="E85" s="139">
        <f>((56.24%)*94.45%*(7/30)/12)</f>
        <v>1.0328632222222222E-2</v>
      </c>
      <c r="F85" s="87">
        <f>TRUNC((($F$41+$F$48)*E85),2)</f>
        <v>27.21</v>
      </c>
    </row>
    <row r="86" spans="1:6" x14ac:dyDescent="0.3">
      <c r="A86" s="73" t="s">
        <v>355</v>
      </c>
      <c r="B86" s="201" t="s">
        <v>406</v>
      </c>
      <c r="C86" s="201"/>
      <c r="D86" s="201"/>
      <c r="E86" s="140">
        <f>1.03%*36.8%</f>
        <v>3.7904000000000002E-3</v>
      </c>
      <c r="F86" s="73">
        <f>TRUNC((($F$41+$F$48)*E86),2)</f>
        <v>9.98</v>
      </c>
    </row>
    <row r="87" spans="1:6" x14ac:dyDescent="0.3">
      <c r="A87" s="74" t="s">
        <v>355</v>
      </c>
      <c r="B87" s="189" t="s">
        <v>407</v>
      </c>
      <c r="C87" s="189"/>
      <c r="D87" s="189"/>
      <c r="E87" s="139">
        <f>(56.24%)*94.45%*40%*8%</f>
        <v>1.6997977600000002E-2</v>
      </c>
      <c r="F87" s="87">
        <f>TRUNC((($F$41+F48)*E87),2)</f>
        <v>44.78</v>
      </c>
    </row>
    <row r="88" spans="1:6" x14ac:dyDescent="0.3">
      <c r="A88" s="195" t="s">
        <v>408</v>
      </c>
      <c r="B88" s="195"/>
      <c r="C88" s="195"/>
      <c r="D88" s="195"/>
      <c r="E88" s="84">
        <f>SUM(E82:E87)</f>
        <v>3.4948932222222229E-2</v>
      </c>
      <c r="F88" s="81">
        <f>TRUNC(SUM(F82:F87),2)</f>
        <v>92.06</v>
      </c>
    </row>
    <row r="89" spans="1:6" x14ac:dyDescent="0.3">
      <c r="A89" s="192"/>
      <c r="B89" s="192"/>
      <c r="C89" s="192"/>
      <c r="D89" s="192"/>
      <c r="E89" s="192"/>
      <c r="F89" s="192"/>
    </row>
    <row r="90" spans="1:6" x14ac:dyDescent="0.3">
      <c r="A90" s="195" t="s">
        <v>409</v>
      </c>
      <c r="B90" s="195"/>
      <c r="C90" s="195"/>
      <c r="D90" s="195"/>
      <c r="E90" s="195"/>
      <c r="F90" s="195"/>
    </row>
    <row r="91" spans="1:6" x14ac:dyDescent="0.3">
      <c r="A91" s="196" t="s">
        <v>410</v>
      </c>
      <c r="B91" s="196"/>
      <c r="C91" s="196"/>
      <c r="D91" s="196"/>
      <c r="E91" s="196"/>
      <c r="F91" s="196"/>
    </row>
    <row r="92" spans="1:6" x14ac:dyDescent="0.3">
      <c r="A92" s="74" t="s">
        <v>411</v>
      </c>
      <c r="B92" s="200" t="s">
        <v>412</v>
      </c>
      <c r="C92" s="200"/>
      <c r="D92" s="200"/>
      <c r="E92" s="77" t="s">
        <v>366</v>
      </c>
      <c r="F92" s="77" t="s">
        <v>346</v>
      </c>
    </row>
    <row r="93" spans="1:6" x14ac:dyDescent="0.3">
      <c r="A93" s="72" t="s">
        <v>347</v>
      </c>
      <c r="B93" s="190" t="s">
        <v>413</v>
      </c>
      <c r="C93" s="190"/>
      <c r="D93" s="190"/>
      <c r="E93" s="82"/>
      <c r="F93" s="73">
        <f>TRUNC((($F$41+$F$78+$E$88)*E98),2)</f>
        <v>0</v>
      </c>
    </row>
    <row r="94" spans="1:6" x14ac:dyDescent="0.3">
      <c r="A94" s="74" t="s">
        <v>349</v>
      </c>
      <c r="B94" s="202" t="s">
        <v>414</v>
      </c>
      <c r="C94" s="202"/>
      <c r="D94" s="202"/>
      <c r="E94" s="139">
        <f>(8/30)/12</f>
        <v>2.2222222222222223E-2</v>
      </c>
      <c r="F94" s="142">
        <f>TRUNC((($F$41+$F$78+$F$88)*E94),2)</f>
        <v>94.5</v>
      </c>
    </row>
    <row r="95" spans="1:6" x14ac:dyDescent="0.3">
      <c r="A95" s="72" t="s">
        <v>351</v>
      </c>
      <c r="B95" s="190" t="s">
        <v>415</v>
      </c>
      <c r="C95" s="190"/>
      <c r="D95" s="190"/>
      <c r="E95" s="140">
        <f>(((20/30)/12)*1.416%*45.22%)</f>
        <v>3.557306666666666E-4</v>
      </c>
      <c r="F95" s="141">
        <f>TRUNC((($F$41+$F$78+$F$88)*E95),2)</f>
        <v>1.51</v>
      </c>
    </row>
    <row r="96" spans="1:6" x14ac:dyDescent="0.3">
      <c r="A96" s="74" t="s">
        <v>353</v>
      </c>
      <c r="B96" s="189" t="s">
        <v>416</v>
      </c>
      <c r="C96" s="189"/>
      <c r="D96" s="189"/>
      <c r="E96" s="139">
        <f>((15/30)/12)*0.44%</f>
        <v>1.8333333333333334E-4</v>
      </c>
      <c r="F96" s="142">
        <f>TRUNC((($F$41+$F$78+$F$88)*E96),2)</f>
        <v>0.77</v>
      </c>
    </row>
    <row r="97" spans="1:6" x14ac:dyDescent="0.3">
      <c r="A97" s="72" t="s">
        <v>355</v>
      </c>
      <c r="B97" s="190" t="s">
        <v>417</v>
      </c>
      <c r="C97" s="190"/>
      <c r="D97" s="190"/>
      <c r="E97" s="140">
        <f>(((180/30)/12*1.416%*54.78%*36.8%))</f>
        <v>1.4272600319999999E-3</v>
      </c>
      <c r="F97" s="141">
        <f>TRUNC((($F$41+F78+F88)*E97),2)</f>
        <v>6.06</v>
      </c>
    </row>
    <row r="98" spans="1:6" x14ac:dyDescent="0.3">
      <c r="A98" s="74" t="s">
        <v>357</v>
      </c>
      <c r="B98" s="189" t="s">
        <v>418</v>
      </c>
      <c r="C98" s="189"/>
      <c r="D98" s="189"/>
      <c r="E98" s="139">
        <v>0</v>
      </c>
      <c r="F98" s="142">
        <f>TRUNC((($F$41+$F$78+$E$88)*E98),2)</f>
        <v>0</v>
      </c>
    </row>
    <row r="99" spans="1:6" x14ac:dyDescent="0.3">
      <c r="A99" s="195" t="s">
        <v>419</v>
      </c>
      <c r="B99" s="195"/>
      <c r="C99" s="195"/>
      <c r="D99" s="195"/>
      <c r="E99" s="84">
        <f>SUM(E93:E98)</f>
        <v>2.4188546254222225E-2</v>
      </c>
      <c r="F99" s="81">
        <f>TRUNC(SUM(F93:F98),2)</f>
        <v>102.84</v>
      </c>
    </row>
    <row r="100" spans="1:6" x14ac:dyDescent="0.3">
      <c r="A100" s="196" t="s">
        <v>420</v>
      </c>
      <c r="B100" s="196"/>
      <c r="C100" s="196"/>
      <c r="D100" s="196"/>
      <c r="E100" s="196"/>
      <c r="F100" s="196"/>
    </row>
    <row r="101" spans="1:6" x14ac:dyDescent="0.3">
      <c r="A101" s="74" t="s">
        <v>421</v>
      </c>
      <c r="B101" s="200" t="s">
        <v>422</v>
      </c>
      <c r="C101" s="200"/>
      <c r="D101" s="200"/>
      <c r="E101" s="77" t="s">
        <v>366</v>
      </c>
      <c r="F101" s="77" t="s">
        <v>346</v>
      </c>
    </row>
    <row r="102" spans="1:6" x14ac:dyDescent="0.3">
      <c r="A102" s="72" t="s">
        <v>347</v>
      </c>
      <c r="B102" s="190" t="s">
        <v>423</v>
      </c>
      <c r="C102" s="190"/>
      <c r="D102" s="190"/>
      <c r="E102" s="88" t="s">
        <v>424</v>
      </c>
      <c r="F102" s="73">
        <v>0</v>
      </c>
    </row>
    <row r="103" spans="1:6" x14ac:dyDescent="0.3">
      <c r="A103" s="196" t="s">
        <v>425</v>
      </c>
      <c r="B103" s="196"/>
      <c r="C103" s="196"/>
      <c r="D103" s="196"/>
      <c r="E103" s="196"/>
      <c r="F103" s="196"/>
    </row>
    <row r="104" spans="1:6" x14ac:dyDescent="0.3">
      <c r="A104" s="74" t="s">
        <v>426</v>
      </c>
      <c r="B104" s="200" t="s">
        <v>427</v>
      </c>
      <c r="C104" s="200"/>
      <c r="D104" s="200"/>
      <c r="E104" s="200"/>
      <c r="F104" s="77" t="s">
        <v>346</v>
      </c>
    </row>
    <row r="105" spans="1:6" x14ac:dyDescent="0.3">
      <c r="A105" s="72" t="s">
        <v>411</v>
      </c>
      <c r="B105" s="190" t="s">
        <v>412</v>
      </c>
      <c r="C105" s="190"/>
      <c r="D105" s="190"/>
      <c r="E105" s="190"/>
      <c r="F105" s="73">
        <f>$F$99</f>
        <v>102.84</v>
      </c>
    </row>
    <row r="106" spans="1:6" x14ac:dyDescent="0.3">
      <c r="A106" s="74" t="s">
        <v>421</v>
      </c>
      <c r="B106" s="189" t="s">
        <v>422</v>
      </c>
      <c r="C106" s="189"/>
      <c r="D106" s="189"/>
      <c r="E106" s="189"/>
      <c r="F106" s="75">
        <v>0</v>
      </c>
    </row>
    <row r="107" spans="1:6" x14ac:dyDescent="0.3">
      <c r="A107" s="195" t="s">
        <v>428</v>
      </c>
      <c r="B107" s="195"/>
      <c r="C107" s="195"/>
      <c r="D107" s="195"/>
      <c r="E107" s="195"/>
      <c r="F107" s="81">
        <f>TRUNC(SUM(F105+F106),2)</f>
        <v>102.84</v>
      </c>
    </row>
    <row r="108" spans="1:6" x14ac:dyDescent="0.3">
      <c r="A108" s="192"/>
      <c r="B108" s="192"/>
      <c r="C108" s="192"/>
      <c r="D108" s="192"/>
      <c r="E108" s="192"/>
      <c r="F108" s="192"/>
    </row>
    <row r="109" spans="1:6" x14ac:dyDescent="0.3">
      <c r="A109" s="195" t="s">
        <v>429</v>
      </c>
      <c r="B109" s="195"/>
      <c r="C109" s="195"/>
      <c r="D109" s="195"/>
      <c r="E109" s="195"/>
      <c r="F109" s="195"/>
    </row>
    <row r="110" spans="1:6" x14ac:dyDescent="0.3">
      <c r="A110" s="74">
        <v>5</v>
      </c>
      <c r="B110" s="200" t="s">
        <v>430</v>
      </c>
      <c r="C110" s="200"/>
      <c r="D110" s="200"/>
      <c r="E110" s="200"/>
      <c r="F110" s="77" t="s">
        <v>346</v>
      </c>
    </row>
    <row r="111" spans="1:6" x14ac:dyDescent="0.3">
      <c r="A111" s="72" t="s">
        <v>347</v>
      </c>
      <c r="B111" s="190" t="s">
        <v>21</v>
      </c>
      <c r="C111" s="190"/>
      <c r="D111" s="190"/>
      <c r="E111" s="190"/>
      <c r="F111" s="73">
        <f>Unif!I23</f>
        <v>173.01</v>
      </c>
    </row>
    <row r="112" spans="1:6" x14ac:dyDescent="0.3">
      <c r="A112" s="74" t="s">
        <v>349</v>
      </c>
      <c r="B112" s="189" t="s">
        <v>431</v>
      </c>
      <c r="C112" s="189"/>
      <c r="D112" s="189"/>
      <c r="E112" s="189"/>
      <c r="F112" s="75">
        <v>0</v>
      </c>
    </row>
    <row r="113" spans="1:6" x14ac:dyDescent="0.3">
      <c r="A113" s="89" t="s">
        <v>351</v>
      </c>
      <c r="B113" s="197" t="s">
        <v>432</v>
      </c>
      <c r="C113" s="197"/>
      <c r="D113" s="197"/>
      <c r="E113" s="197"/>
      <c r="F113" s="73">
        <v>0</v>
      </c>
    </row>
    <row r="114" spans="1:6" x14ac:dyDescent="0.3">
      <c r="A114" s="74" t="s">
        <v>353</v>
      </c>
      <c r="B114" s="189" t="s">
        <v>433</v>
      </c>
      <c r="C114" s="189"/>
      <c r="D114" s="189"/>
      <c r="E114" s="189"/>
      <c r="F114" s="75">
        <v>0</v>
      </c>
    </row>
    <row r="115" spans="1:6" x14ac:dyDescent="0.3">
      <c r="A115" s="195" t="s">
        <v>434</v>
      </c>
      <c r="B115" s="195"/>
      <c r="C115" s="195"/>
      <c r="D115" s="195"/>
      <c r="E115" s="195"/>
      <c r="F115" s="81">
        <f>TRUNC(SUM(F111:F114),2)</f>
        <v>173.01</v>
      </c>
    </row>
    <row r="116" spans="1:6" x14ac:dyDescent="0.3">
      <c r="A116" s="192"/>
      <c r="B116" s="192"/>
      <c r="C116" s="192"/>
      <c r="D116" s="192"/>
      <c r="E116" s="192"/>
      <c r="F116" s="192"/>
    </row>
    <row r="117" spans="1:6" x14ac:dyDescent="0.3">
      <c r="A117" s="195" t="s">
        <v>435</v>
      </c>
      <c r="B117" s="195"/>
      <c r="C117" s="195"/>
      <c r="D117" s="195"/>
      <c r="E117" s="195"/>
      <c r="F117" s="195"/>
    </row>
    <row r="118" spans="1:6" x14ac:dyDescent="0.3">
      <c r="A118" s="198" t="s">
        <v>436</v>
      </c>
      <c r="B118" s="198"/>
      <c r="C118" s="198"/>
      <c r="D118" s="198"/>
      <c r="E118" s="77" t="s">
        <v>366</v>
      </c>
      <c r="F118" s="77" t="s">
        <v>346</v>
      </c>
    </row>
    <row r="119" spans="1:6" x14ac:dyDescent="0.3">
      <c r="A119" s="72" t="s">
        <v>347</v>
      </c>
      <c r="B119" s="190" t="s">
        <v>437</v>
      </c>
      <c r="C119" s="190"/>
      <c r="D119" s="190"/>
      <c r="E119" s="82">
        <f>'Salários.VA.VT.QteDias.LDI.T'!$D$46</f>
        <v>4.7300000000000002E-2</v>
      </c>
      <c r="F119" s="90">
        <f>TRUNC(($F$134*$E$119),2)</f>
        <v>214.19</v>
      </c>
    </row>
    <row r="120" spans="1:6" x14ac:dyDescent="0.3">
      <c r="A120" s="74" t="s">
        <v>349</v>
      </c>
      <c r="B120" s="189" t="s">
        <v>438</v>
      </c>
      <c r="C120" s="189"/>
      <c r="D120" s="189"/>
      <c r="E120" s="83">
        <f>'Salários.VA.VT.QteDias.LDI.T'!$D$47</f>
        <v>5.57E-2</v>
      </c>
      <c r="F120" s="75">
        <f>TRUNC((($F$134+$F$119)*E120),2)</f>
        <v>264.16000000000003</v>
      </c>
    </row>
    <row r="121" spans="1:6" x14ac:dyDescent="0.3">
      <c r="A121" s="199" t="s">
        <v>439</v>
      </c>
      <c r="B121" s="199"/>
      <c r="C121" s="199"/>
      <c r="D121" s="199"/>
      <c r="E121" s="92" t="s">
        <v>366</v>
      </c>
      <c r="F121" s="92" t="s">
        <v>346</v>
      </c>
    </row>
    <row r="122" spans="1:6" x14ac:dyDescent="0.3">
      <c r="A122" s="74" t="s">
        <v>347</v>
      </c>
      <c r="B122" s="189" t="s">
        <v>55</v>
      </c>
      <c r="C122" s="189"/>
      <c r="D122" s="189"/>
      <c r="E122" s="139">
        <v>6.4999999999999997E-3</v>
      </c>
      <c r="F122" s="75">
        <f>TRUNC(((($F$134+$F$119+$F$120)/0.9135)*E122),2)</f>
        <v>35.619999999999997</v>
      </c>
    </row>
    <row r="123" spans="1:6" x14ac:dyDescent="0.3">
      <c r="A123" s="91" t="s">
        <v>349</v>
      </c>
      <c r="B123" s="194" t="s">
        <v>440</v>
      </c>
      <c r="C123" s="194"/>
      <c r="D123" s="194"/>
      <c r="E123" s="143">
        <v>0.03</v>
      </c>
      <c r="F123" s="90">
        <f>TRUNC(((($F$134+$F$119+$F$120)/0.9135)*E123),2)</f>
        <v>164.42</v>
      </c>
    </row>
    <row r="124" spans="1:6" x14ac:dyDescent="0.3">
      <c r="A124" s="74" t="s">
        <v>351</v>
      </c>
      <c r="B124" s="189" t="s">
        <v>57</v>
      </c>
      <c r="C124" s="189"/>
      <c r="D124" s="189"/>
      <c r="E124" s="139">
        <v>0.05</v>
      </c>
      <c r="F124" s="75">
        <f>TRUNC(((($F$134+$F$119+$F$120)/0.9135)*E124),2)</f>
        <v>274.04000000000002</v>
      </c>
    </row>
    <row r="125" spans="1:6" x14ac:dyDescent="0.3">
      <c r="A125" s="195" t="s">
        <v>441</v>
      </c>
      <c r="B125" s="195"/>
      <c r="C125" s="195"/>
      <c r="D125" s="195"/>
      <c r="E125" s="84">
        <f>SUM(E122:E124)</f>
        <v>8.6499999999999994E-2</v>
      </c>
      <c r="F125" s="81">
        <f>TRUNC(SUM($F$119,$F$120,$F$122,$F$123,$F$124),2)</f>
        <v>952.43</v>
      </c>
    </row>
    <row r="126" spans="1:6" x14ac:dyDescent="0.3">
      <c r="A126" s="192"/>
      <c r="B126" s="192"/>
      <c r="C126" s="192"/>
      <c r="D126" s="192"/>
      <c r="E126" s="192"/>
      <c r="F126" s="192"/>
    </row>
    <row r="127" spans="1:6" x14ac:dyDescent="0.3">
      <c r="A127" s="195" t="s">
        <v>442</v>
      </c>
      <c r="B127" s="195"/>
      <c r="C127" s="195"/>
      <c r="D127" s="195"/>
      <c r="E127" s="195"/>
      <c r="F127" s="195"/>
    </row>
    <row r="128" spans="1:6" x14ac:dyDescent="0.3">
      <c r="A128" s="196" t="s">
        <v>443</v>
      </c>
      <c r="B128" s="196"/>
      <c r="C128" s="196"/>
      <c r="D128" s="196"/>
      <c r="E128" s="196"/>
      <c r="F128" s="86" t="s">
        <v>346</v>
      </c>
    </row>
    <row r="129" spans="1:8" x14ac:dyDescent="0.3">
      <c r="A129" s="74" t="s">
        <v>347</v>
      </c>
      <c r="B129" s="189" t="s">
        <v>444</v>
      </c>
      <c r="C129" s="189"/>
      <c r="D129" s="189"/>
      <c r="E129" s="189"/>
      <c r="F129" s="75">
        <f>$F$41</f>
        <v>2371.3200000000002</v>
      </c>
    </row>
    <row r="130" spans="1:8" x14ac:dyDescent="0.3">
      <c r="A130" s="72" t="s">
        <v>349</v>
      </c>
      <c r="B130" s="190" t="s">
        <v>445</v>
      </c>
      <c r="C130" s="190"/>
      <c r="D130" s="190"/>
      <c r="E130" s="190"/>
      <c r="F130" s="73">
        <f>$F$78</f>
        <v>1789.15</v>
      </c>
    </row>
    <row r="131" spans="1:8" x14ac:dyDescent="0.3">
      <c r="A131" s="74" t="s">
        <v>351</v>
      </c>
      <c r="B131" s="189" t="s">
        <v>446</v>
      </c>
      <c r="C131" s="189"/>
      <c r="D131" s="189"/>
      <c r="E131" s="189"/>
      <c r="F131" s="75">
        <f>$F$88</f>
        <v>92.06</v>
      </c>
    </row>
    <row r="132" spans="1:8" x14ac:dyDescent="0.3">
      <c r="A132" s="72" t="s">
        <v>353</v>
      </c>
      <c r="B132" s="190" t="s">
        <v>447</v>
      </c>
      <c r="C132" s="190"/>
      <c r="D132" s="190"/>
      <c r="E132" s="190"/>
      <c r="F132" s="73">
        <f>$F$107</f>
        <v>102.84</v>
      </c>
    </row>
    <row r="133" spans="1:8" x14ac:dyDescent="0.3">
      <c r="A133" s="74" t="s">
        <v>355</v>
      </c>
      <c r="B133" s="189" t="s">
        <v>448</v>
      </c>
      <c r="C133" s="189"/>
      <c r="D133" s="189"/>
      <c r="E133" s="189"/>
      <c r="F133" s="75">
        <f>$F$115</f>
        <v>173.01</v>
      </c>
    </row>
    <row r="134" spans="1:8" x14ac:dyDescent="0.3">
      <c r="A134" s="191" t="s">
        <v>449</v>
      </c>
      <c r="B134" s="191"/>
      <c r="C134" s="191"/>
      <c r="D134" s="191"/>
      <c r="E134" s="191"/>
      <c r="F134" s="73">
        <f>TRUNC(SUM(F129:F133),2)</f>
        <v>4528.38</v>
      </c>
    </row>
    <row r="135" spans="1:8" ht="16.5" customHeight="1" x14ac:dyDescent="0.3">
      <c r="A135" s="74" t="s">
        <v>357</v>
      </c>
      <c r="B135" s="189" t="s">
        <v>450</v>
      </c>
      <c r="C135" s="189"/>
      <c r="D135" s="189"/>
      <c r="E135" s="189"/>
      <c r="F135" s="75">
        <f>TRUNC(($F$125),2)</f>
        <v>952.43</v>
      </c>
    </row>
    <row r="136" spans="1:8" ht="16.5" customHeight="1" x14ac:dyDescent="0.3">
      <c r="A136" s="191" t="s">
        <v>451</v>
      </c>
      <c r="B136" s="191"/>
      <c r="C136" s="191"/>
      <c r="D136" s="191"/>
      <c r="E136" s="191"/>
      <c r="F136" s="73">
        <f>TRUNC(($F$134 + $F$135),2)</f>
        <v>5480.81</v>
      </c>
    </row>
    <row r="137" spans="1:8" ht="16.5" customHeight="1" x14ac:dyDescent="0.3">
      <c r="A137" s="192"/>
      <c r="B137" s="192"/>
      <c r="C137" s="192"/>
      <c r="D137" s="192"/>
      <c r="E137" s="192"/>
      <c r="F137" s="192"/>
      <c r="H137" s="85"/>
    </row>
    <row r="138" spans="1:8" ht="16.5" customHeight="1" x14ac:dyDescent="0.3">
      <c r="A138" s="193" t="s">
        <v>452</v>
      </c>
      <c r="B138" s="193"/>
      <c r="C138" s="193"/>
      <c r="D138" s="193"/>
      <c r="E138" s="193"/>
      <c r="F138" s="193"/>
    </row>
    <row r="139" spans="1:8" x14ac:dyDescent="0.3">
      <c r="A139" s="93" t="s">
        <v>453</v>
      </c>
      <c r="B139" s="94" t="s">
        <v>454</v>
      </c>
      <c r="C139" s="94" t="s">
        <v>455</v>
      </c>
      <c r="D139" s="94" t="s">
        <v>456</v>
      </c>
      <c r="E139" s="94" t="s">
        <v>457</v>
      </c>
      <c r="F139" s="94" t="s">
        <v>74</v>
      </c>
    </row>
    <row r="140" spans="1:8" ht="30" customHeight="1" x14ac:dyDescent="0.3">
      <c r="A140" s="95" t="str">
        <f>$C$26</f>
        <v>Auxiliar Administrativo II</v>
      </c>
      <c r="B140" s="96">
        <f>$F$136</f>
        <v>5480.81</v>
      </c>
      <c r="C140" s="95">
        <f>$C$22</f>
        <v>1</v>
      </c>
      <c r="D140" s="95">
        <f>$C$18</f>
        <v>12</v>
      </c>
      <c r="E140" s="96">
        <f>TRUNC(($B$140 * $C$140),2)</f>
        <v>5480.81</v>
      </c>
      <c r="F140" s="96">
        <f>TRUNC(($D$140 * $E$140),2)</f>
        <v>65769.72</v>
      </c>
    </row>
  </sheetData>
  <sheetProtection sheet="1" objects="1" scenarios="1"/>
  <protectedRanges>
    <protectedRange sqref="C10:F10 C13:F13 C15:F15 C16:F16 C17:F17 C28:F28 C30:F30 F35 F36 F37 F38 F39 F40 E53 F67 F69 F71 E82 E83 E84 E85 E86 E87 E94 E95 E96 E97 E98 E122 E123 E124" name="Intervalo1"/>
  </protectedRanges>
  <mergeCells count="146">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s>
  <hyperlinks>
    <hyperlink ref="C9" r:id="rId1" location="/134037411" xr:uid="{00000000-0004-0000-0A00-000000000000}"/>
    <hyperlink ref="C27" r:id="rId2" xr:uid="{00000000-0004-0000-0A00-000001000000}"/>
  </hyperlinks>
  <pageMargins left="0.7" right="0.7" top="0.75" bottom="0.75" header="0.511811023622047" footer="0.511811023622047"/>
  <pageSetup paperSize="9" orientation="portrait" horizontalDpi="300" verticalDpi="300" r:id="rId3"/>
  <drawing r:id="rId4"/>
  <legacyDrawing r:id="rId5"/>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43"/>
  <sheetViews>
    <sheetView zoomScale="140" zoomScaleNormal="140" workbookViewId="0">
      <selection activeCell="H112" sqref="H112"/>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15"/>
      <c r="B1" s="215"/>
      <c r="C1" s="215"/>
      <c r="D1" s="215"/>
      <c r="E1" s="215"/>
      <c r="F1" s="215"/>
    </row>
    <row r="2" spans="1:6" x14ac:dyDescent="0.3">
      <c r="A2" s="215"/>
      <c r="B2" s="215"/>
      <c r="C2" s="215"/>
      <c r="D2" s="215"/>
      <c r="E2" s="215"/>
      <c r="F2" s="215"/>
    </row>
    <row r="3" spans="1:6" x14ac:dyDescent="0.3">
      <c r="A3" s="215"/>
      <c r="B3" s="215"/>
      <c r="C3" s="215"/>
      <c r="D3" s="215"/>
      <c r="E3" s="215"/>
      <c r="F3" s="215"/>
    </row>
    <row r="4" spans="1:6" x14ac:dyDescent="0.3">
      <c r="A4" s="215"/>
      <c r="B4" s="215"/>
      <c r="C4" s="215"/>
      <c r="D4" s="215"/>
      <c r="E4" s="215"/>
      <c r="F4" s="215"/>
    </row>
    <row r="5" spans="1:6" x14ac:dyDescent="0.3">
      <c r="A5" s="215"/>
      <c r="B5" s="215"/>
      <c r="C5" s="215"/>
      <c r="D5" s="215"/>
      <c r="E5" s="215"/>
      <c r="F5" s="215"/>
    </row>
    <row r="6" spans="1:6" x14ac:dyDescent="0.3">
      <c r="A6" s="215"/>
      <c r="B6" s="215"/>
      <c r="C6" s="215"/>
      <c r="D6" s="215"/>
      <c r="E6" s="215"/>
      <c r="F6" s="215"/>
    </row>
    <row r="7" spans="1:6" x14ac:dyDescent="0.3">
      <c r="A7" s="206"/>
      <c r="B7" s="206"/>
      <c r="C7" s="206"/>
      <c r="D7" s="206"/>
      <c r="E7" s="206"/>
      <c r="F7" s="206"/>
    </row>
    <row r="8" spans="1:6" x14ac:dyDescent="0.3">
      <c r="A8" s="205" t="s">
        <v>314</v>
      </c>
      <c r="B8" s="205"/>
      <c r="C8" s="205"/>
      <c r="D8" s="205"/>
      <c r="E8" s="205"/>
      <c r="F8" s="205"/>
    </row>
    <row r="9" spans="1:6" x14ac:dyDescent="0.3">
      <c r="A9" s="209" t="s">
        <v>315</v>
      </c>
      <c r="B9" s="209"/>
      <c r="C9" s="216" t="s">
        <v>316</v>
      </c>
      <c r="D9" s="216"/>
      <c r="E9" s="216"/>
      <c r="F9" s="216"/>
    </row>
    <row r="10" spans="1:6" x14ac:dyDescent="0.3">
      <c r="A10" s="210" t="s">
        <v>317</v>
      </c>
      <c r="B10" s="210"/>
      <c r="C10" s="217" t="s">
        <v>318</v>
      </c>
      <c r="D10" s="217"/>
      <c r="E10" s="217"/>
      <c r="F10" s="217"/>
    </row>
    <row r="11" spans="1:6" x14ac:dyDescent="0.3">
      <c r="A11" s="206"/>
      <c r="B11" s="206"/>
      <c r="C11" s="206"/>
      <c r="D11" s="206"/>
      <c r="E11" s="206"/>
      <c r="F11" s="206"/>
    </row>
    <row r="12" spans="1:6" x14ac:dyDescent="0.3">
      <c r="A12" s="205" t="s">
        <v>319</v>
      </c>
      <c r="B12" s="205"/>
      <c r="C12" s="205"/>
      <c r="D12" s="205"/>
      <c r="E12" s="205"/>
      <c r="F12" s="205"/>
    </row>
    <row r="13" spans="1:6" x14ac:dyDescent="0.3">
      <c r="A13" s="209" t="s">
        <v>320</v>
      </c>
      <c r="B13" s="209"/>
      <c r="C13" s="213" t="s">
        <v>321</v>
      </c>
      <c r="D13" s="213"/>
      <c r="E13" s="213"/>
      <c r="F13" s="213"/>
    </row>
    <row r="14" spans="1:6" x14ac:dyDescent="0.3">
      <c r="A14" s="210" t="s">
        <v>322</v>
      </c>
      <c r="B14" s="210"/>
      <c r="C14" s="210" t="s">
        <v>323</v>
      </c>
      <c r="D14" s="210"/>
      <c r="E14" s="210"/>
      <c r="F14" s="210"/>
    </row>
    <row r="15" spans="1:6" ht="16.5" customHeight="1" x14ac:dyDescent="0.3">
      <c r="A15" s="166" t="s">
        <v>324</v>
      </c>
      <c r="B15" s="166"/>
      <c r="C15" s="214" t="s">
        <v>325</v>
      </c>
      <c r="D15" s="214"/>
      <c r="E15" s="214"/>
      <c r="F15" s="214"/>
    </row>
    <row r="16" spans="1:6" x14ac:dyDescent="0.3">
      <c r="A16" s="166"/>
      <c r="B16" s="166"/>
      <c r="C16" s="214" t="s">
        <v>326</v>
      </c>
      <c r="D16" s="214"/>
      <c r="E16" s="214"/>
      <c r="F16" s="214"/>
    </row>
    <row r="17" spans="1:6" x14ac:dyDescent="0.3">
      <c r="A17" s="166"/>
      <c r="B17" s="166"/>
      <c r="C17" s="214" t="s">
        <v>327</v>
      </c>
      <c r="D17" s="214"/>
      <c r="E17" s="214"/>
      <c r="F17" s="214"/>
    </row>
    <row r="18" spans="1:6" x14ac:dyDescent="0.3">
      <c r="A18" s="210" t="s">
        <v>328</v>
      </c>
      <c r="B18" s="210"/>
      <c r="C18" s="210">
        <v>12</v>
      </c>
      <c r="D18" s="210"/>
      <c r="E18" s="210"/>
      <c r="F18" s="210"/>
    </row>
    <row r="19" spans="1:6" x14ac:dyDescent="0.3">
      <c r="A19" s="206"/>
      <c r="B19" s="206"/>
      <c r="C19" s="206"/>
      <c r="D19" s="206"/>
      <c r="E19" s="206"/>
      <c r="F19" s="206"/>
    </row>
    <row r="20" spans="1:6" x14ac:dyDescent="0.3">
      <c r="A20" s="205" t="s">
        <v>329</v>
      </c>
      <c r="B20" s="205"/>
      <c r="C20" s="205"/>
      <c r="D20" s="205"/>
      <c r="E20" s="205"/>
      <c r="F20" s="205"/>
    </row>
    <row r="21" spans="1:6" x14ac:dyDescent="0.3">
      <c r="A21" s="209" t="s">
        <v>330</v>
      </c>
      <c r="B21" s="209"/>
      <c r="C21" s="209" t="s">
        <v>331</v>
      </c>
      <c r="D21" s="209"/>
      <c r="E21" s="209"/>
      <c r="F21" s="209"/>
    </row>
    <row r="22" spans="1:6" ht="27" customHeight="1" x14ac:dyDescent="0.3">
      <c r="A22" s="162" t="s">
        <v>332</v>
      </c>
      <c r="B22" s="162"/>
      <c r="C22" s="210">
        <v>1</v>
      </c>
      <c r="D22" s="210"/>
      <c r="E22" s="210"/>
      <c r="F22" s="210"/>
    </row>
    <row r="23" spans="1:6" x14ac:dyDescent="0.3">
      <c r="A23" s="206"/>
      <c r="B23" s="206"/>
      <c r="C23" s="206"/>
      <c r="D23" s="206"/>
      <c r="E23" s="206"/>
      <c r="F23" s="206"/>
    </row>
    <row r="24" spans="1:6" x14ac:dyDescent="0.3">
      <c r="A24" s="205" t="s">
        <v>333</v>
      </c>
      <c r="B24" s="205"/>
      <c r="C24" s="205"/>
      <c r="D24" s="205"/>
      <c r="E24" s="205"/>
      <c r="F24" s="205"/>
    </row>
    <row r="25" spans="1:6" x14ac:dyDescent="0.3">
      <c r="A25" s="210" t="s">
        <v>334</v>
      </c>
      <c r="B25" s="210"/>
      <c r="C25" s="210"/>
      <c r="D25" s="210"/>
      <c r="E25" s="210"/>
      <c r="F25" s="210"/>
    </row>
    <row r="26" spans="1:6" ht="21" customHeight="1" x14ac:dyDescent="0.3">
      <c r="A26" s="166" t="s">
        <v>335</v>
      </c>
      <c r="B26" s="166"/>
      <c r="C26" s="209" t="s">
        <v>458</v>
      </c>
      <c r="D26" s="209"/>
      <c r="E26" s="209"/>
      <c r="F26" s="209"/>
    </row>
    <row r="27" spans="1:6" x14ac:dyDescent="0.3">
      <c r="A27" s="210" t="s">
        <v>336</v>
      </c>
      <c r="B27" s="210"/>
      <c r="C27" s="232" t="s">
        <v>459</v>
      </c>
      <c r="D27" s="232"/>
      <c r="E27" s="232"/>
      <c r="F27" s="232"/>
    </row>
    <row r="28" spans="1:6" x14ac:dyDescent="0.3">
      <c r="A28" s="209" t="s">
        <v>338</v>
      </c>
      <c r="B28" s="209"/>
      <c r="C28" s="212">
        <f>'Salários.VA.VT.QteDias.LDI.T'!D3</f>
        <v>1586.86</v>
      </c>
      <c r="D28" s="212"/>
      <c r="E28" s="212"/>
      <c r="F28" s="212"/>
    </row>
    <row r="29" spans="1:6" ht="24.75" customHeight="1" x14ac:dyDescent="0.3">
      <c r="A29" s="162" t="s">
        <v>339</v>
      </c>
      <c r="B29" s="162"/>
      <c r="C29" s="210" t="s">
        <v>340</v>
      </c>
      <c r="D29" s="210"/>
      <c r="E29" s="210"/>
      <c r="F29" s="210"/>
    </row>
    <row r="30" spans="1:6" x14ac:dyDescent="0.3">
      <c r="A30" s="209" t="s">
        <v>341</v>
      </c>
      <c r="B30" s="209"/>
      <c r="C30" s="213" t="s">
        <v>342</v>
      </c>
      <c r="D30" s="213"/>
      <c r="E30" s="213"/>
      <c r="F30" s="213"/>
    </row>
    <row r="31" spans="1:6" x14ac:dyDescent="0.3">
      <c r="A31" s="207" t="s">
        <v>343</v>
      </c>
      <c r="B31" s="207"/>
      <c r="C31" s="207"/>
      <c r="D31" s="207"/>
      <c r="E31" s="207"/>
      <c r="F31" s="207"/>
    </row>
    <row r="32" spans="1:6" x14ac:dyDescent="0.3">
      <c r="A32" s="205" t="s">
        <v>344</v>
      </c>
      <c r="B32" s="205"/>
      <c r="C32" s="205"/>
      <c r="D32" s="205"/>
      <c r="E32" s="205"/>
      <c r="F32" s="205"/>
    </row>
    <row r="33" spans="1:6" x14ac:dyDescent="0.3">
      <c r="A33" s="70" t="s">
        <v>1</v>
      </c>
      <c r="B33" s="208" t="s">
        <v>345</v>
      </c>
      <c r="C33" s="208"/>
      <c r="D33" s="208"/>
      <c r="E33" s="208"/>
      <c r="F33" s="71" t="s">
        <v>346</v>
      </c>
    </row>
    <row r="34" spans="1:6" x14ac:dyDescent="0.3">
      <c r="A34" s="72" t="s">
        <v>347</v>
      </c>
      <c r="B34" s="190" t="s">
        <v>348</v>
      </c>
      <c r="C34" s="190"/>
      <c r="D34" s="190"/>
      <c r="E34" s="190"/>
      <c r="F34" s="73">
        <f>$C$28</f>
        <v>1586.86</v>
      </c>
    </row>
    <row r="35" spans="1:6" x14ac:dyDescent="0.3">
      <c r="A35" s="74" t="s">
        <v>349</v>
      </c>
      <c r="B35" s="189" t="s">
        <v>350</v>
      </c>
      <c r="C35" s="189"/>
      <c r="D35" s="189"/>
      <c r="E35" s="189"/>
      <c r="F35" s="137">
        <v>0</v>
      </c>
    </row>
    <row r="36" spans="1:6" x14ac:dyDescent="0.3">
      <c r="A36" s="72" t="s">
        <v>351</v>
      </c>
      <c r="B36" s="194" t="s">
        <v>352</v>
      </c>
      <c r="C36" s="194"/>
      <c r="D36" s="194"/>
      <c r="E36" s="194"/>
      <c r="F36" s="138">
        <v>0</v>
      </c>
    </row>
    <row r="37" spans="1:6" x14ac:dyDescent="0.3">
      <c r="A37" s="74" t="s">
        <v>353</v>
      </c>
      <c r="B37" s="189" t="s">
        <v>354</v>
      </c>
      <c r="C37" s="189"/>
      <c r="D37" s="189"/>
      <c r="E37" s="189"/>
      <c r="F37" s="137">
        <v>0</v>
      </c>
    </row>
    <row r="38" spans="1:6" x14ac:dyDescent="0.3">
      <c r="A38" s="72" t="s">
        <v>355</v>
      </c>
      <c r="B38" s="190" t="s">
        <v>356</v>
      </c>
      <c r="C38" s="190"/>
      <c r="D38" s="190"/>
      <c r="E38" s="190"/>
      <c r="F38" s="138">
        <v>0</v>
      </c>
    </row>
    <row r="39" spans="1:6" x14ac:dyDescent="0.3">
      <c r="A39" s="74" t="s">
        <v>357</v>
      </c>
      <c r="B39" s="189" t="s">
        <v>358</v>
      </c>
      <c r="C39" s="189"/>
      <c r="D39" s="189"/>
      <c r="E39" s="189"/>
      <c r="F39" s="137">
        <v>0</v>
      </c>
    </row>
    <row r="40" spans="1:6" x14ac:dyDescent="0.3">
      <c r="A40" s="72" t="s">
        <v>359</v>
      </c>
      <c r="B40" s="190" t="s">
        <v>360</v>
      </c>
      <c r="C40" s="190"/>
      <c r="D40" s="190"/>
      <c r="E40" s="190"/>
      <c r="F40" s="138">
        <v>0</v>
      </c>
    </row>
    <row r="41" spans="1:6" x14ac:dyDescent="0.3">
      <c r="A41" s="205" t="s">
        <v>361</v>
      </c>
      <c r="B41" s="205"/>
      <c r="C41" s="205"/>
      <c r="D41" s="205"/>
      <c r="E41" s="205"/>
      <c r="F41" s="76">
        <f>TRUNC(SUM(F34:F40),2)</f>
        <v>1586.86</v>
      </c>
    </row>
    <row r="42" spans="1:6" x14ac:dyDescent="0.3">
      <c r="A42" s="206"/>
      <c r="B42" s="206"/>
      <c r="C42" s="206"/>
      <c r="D42" s="206"/>
      <c r="E42" s="206"/>
      <c r="F42" s="206"/>
    </row>
    <row r="43" spans="1:6" x14ac:dyDescent="0.3">
      <c r="A43" s="205" t="s">
        <v>362</v>
      </c>
      <c r="B43" s="205"/>
      <c r="C43" s="205"/>
      <c r="D43" s="205"/>
      <c r="E43" s="205"/>
      <c r="F43" s="205"/>
    </row>
    <row r="44" spans="1:6" x14ac:dyDescent="0.3">
      <c r="A44" s="188" t="s">
        <v>460</v>
      </c>
      <c r="B44" s="188"/>
      <c r="C44" s="188"/>
      <c r="D44" s="188"/>
      <c r="E44" s="188"/>
      <c r="F44" s="188"/>
    </row>
    <row r="45" spans="1:6" x14ac:dyDescent="0.3">
      <c r="A45" s="70" t="s">
        <v>364</v>
      </c>
      <c r="B45" s="208" t="s">
        <v>365</v>
      </c>
      <c r="C45" s="208"/>
      <c r="D45" s="208"/>
      <c r="E45" s="71" t="s">
        <v>366</v>
      </c>
      <c r="F45" s="71" t="s">
        <v>346</v>
      </c>
    </row>
    <row r="46" spans="1:6" x14ac:dyDescent="0.3">
      <c r="A46" s="72" t="s">
        <v>347</v>
      </c>
      <c r="B46" s="190" t="s">
        <v>367</v>
      </c>
      <c r="C46" s="190"/>
      <c r="D46" s="190"/>
      <c r="E46" s="78">
        <f>TRUNC((100/12),2)</f>
        <v>8.33</v>
      </c>
      <c r="F46" s="73">
        <f>TRUNC((F41*E46%),2)</f>
        <v>132.18</v>
      </c>
    </row>
    <row r="47" spans="1:6" x14ac:dyDescent="0.3">
      <c r="A47" s="74" t="s">
        <v>349</v>
      </c>
      <c r="B47" s="189" t="s">
        <v>368</v>
      </c>
      <c r="C47" s="189"/>
      <c r="D47" s="189"/>
      <c r="E47" s="79">
        <f>E46/3</f>
        <v>2.7766666666666668</v>
      </c>
      <c r="F47" s="75">
        <f>TRUNC((F41*E47%),2)</f>
        <v>44.06</v>
      </c>
    </row>
    <row r="48" spans="1:6" x14ac:dyDescent="0.3">
      <c r="A48" s="205" t="s">
        <v>369</v>
      </c>
      <c r="B48" s="205"/>
      <c r="C48" s="205"/>
      <c r="D48" s="205"/>
      <c r="E48" s="97">
        <f>SUM(E46:E47)</f>
        <v>11.106666666666667</v>
      </c>
      <c r="F48" s="76">
        <f>TRUNC((SUM(F46:F47)),2)</f>
        <v>176.24</v>
      </c>
    </row>
    <row r="49" spans="1:6" x14ac:dyDescent="0.3">
      <c r="A49" s="188" t="s">
        <v>370</v>
      </c>
      <c r="B49" s="188"/>
      <c r="C49" s="188"/>
      <c r="D49" s="188"/>
      <c r="E49" s="188"/>
      <c r="F49" s="188"/>
    </row>
    <row r="50" spans="1:6" x14ac:dyDescent="0.3">
      <c r="A50" s="70" t="s">
        <v>371</v>
      </c>
      <c r="B50" s="218" t="s">
        <v>372</v>
      </c>
      <c r="C50" s="218"/>
      <c r="D50" s="218"/>
      <c r="E50" s="71" t="s">
        <v>366</v>
      </c>
      <c r="F50" s="71" t="s">
        <v>346</v>
      </c>
    </row>
    <row r="51" spans="1:6" x14ac:dyDescent="0.3">
      <c r="A51" s="72" t="s">
        <v>347</v>
      </c>
      <c r="B51" s="190" t="s">
        <v>373</v>
      </c>
      <c r="C51" s="190"/>
      <c r="D51" s="190"/>
      <c r="E51" s="82">
        <v>0.2</v>
      </c>
      <c r="F51" s="73">
        <f t="shared" ref="F51:F58" si="0">TRUNC((($F$41+$F$48)*E51),2)</f>
        <v>352.62</v>
      </c>
    </row>
    <row r="52" spans="1:6" x14ac:dyDescent="0.3">
      <c r="A52" s="74" t="s">
        <v>349</v>
      </c>
      <c r="B52" s="189" t="s">
        <v>374</v>
      </c>
      <c r="C52" s="189"/>
      <c r="D52" s="189"/>
      <c r="E52" s="83">
        <v>2.5000000000000001E-2</v>
      </c>
      <c r="F52" s="75">
        <f t="shared" si="0"/>
        <v>44.07</v>
      </c>
    </row>
    <row r="53" spans="1:6" x14ac:dyDescent="0.3">
      <c r="A53" s="91" t="s">
        <v>351</v>
      </c>
      <c r="B53" s="190" t="s">
        <v>375</v>
      </c>
      <c r="C53" s="190"/>
      <c r="D53" s="190"/>
      <c r="E53" s="140">
        <v>0.03</v>
      </c>
      <c r="F53" s="73">
        <f t="shared" si="0"/>
        <v>52.89</v>
      </c>
    </row>
    <row r="54" spans="1:6" x14ac:dyDescent="0.3">
      <c r="A54" s="74" t="s">
        <v>353</v>
      </c>
      <c r="B54" s="189" t="s">
        <v>376</v>
      </c>
      <c r="C54" s="189"/>
      <c r="D54" s="189"/>
      <c r="E54" s="83">
        <v>1.4999999999999999E-2</v>
      </c>
      <c r="F54" s="75">
        <f t="shared" si="0"/>
        <v>26.44</v>
      </c>
    </row>
    <row r="55" spans="1:6" x14ac:dyDescent="0.3">
      <c r="A55" s="72" t="s">
        <v>355</v>
      </c>
      <c r="B55" s="190" t="s">
        <v>377</v>
      </c>
      <c r="C55" s="190"/>
      <c r="D55" s="190"/>
      <c r="E55" s="82">
        <v>0.01</v>
      </c>
      <c r="F55" s="73">
        <f t="shared" si="0"/>
        <v>17.63</v>
      </c>
    </row>
    <row r="56" spans="1:6" x14ac:dyDescent="0.3">
      <c r="A56" s="74" t="s">
        <v>357</v>
      </c>
      <c r="B56" s="189" t="s">
        <v>378</v>
      </c>
      <c r="C56" s="189"/>
      <c r="D56" s="189"/>
      <c r="E56" s="83">
        <v>6.0000000000000001E-3</v>
      </c>
      <c r="F56" s="75">
        <f t="shared" si="0"/>
        <v>10.57</v>
      </c>
    </row>
    <row r="57" spans="1:6" x14ac:dyDescent="0.3">
      <c r="A57" s="72" t="s">
        <v>359</v>
      </c>
      <c r="B57" s="190" t="s">
        <v>379</v>
      </c>
      <c r="C57" s="190"/>
      <c r="D57" s="190"/>
      <c r="E57" s="82">
        <v>2E-3</v>
      </c>
      <c r="F57" s="73">
        <f t="shared" si="0"/>
        <v>3.52</v>
      </c>
    </row>
    <row r="58" spans="1:6" x14ac:dyDescent="0.3">
      <c r="A58" s="74" t="s">
        <v>380</v>
      </c>
      <c r="B58" s="189" t="s">
        <v>381</v>
      </c>
      <c r="C58" s="189"/>
      <c r="D58" s="189"/>
      <c r="E58" s="83">
        <v>0.08</v>
      </c>
      <c r="F58" s="75">
        <f t="shared" si="0"/>
        <v>141.04</v>
      </c>
    </row>
    <row r="59" spans="1:6" x14ac:dyDescent="0.3">
      <c r="A59" s="205" t="s">
        <v>382</v>
      </c>
      <c r="B59" s="205"/>
      <c r="C59" s="205"/>
      <c r="D59" s="205"/>
      <c r="E59" s="98">
        <f>SUM(E51:E58)</f>
        <v>0.36800000000000005</v>
      </c>
      <c r="F59" s="76">
        <f>TRUNC((SUM(F51:F58)),2)</f>
        <v>648.78</v>
      </c>
    </row>
    <row r="60" spans="1:6" x14ac:dyDescent="0.3">
      <c r="A60" s="188" t="s">
        <v>383</v>
      </c>
      <c r="B60" s="188"/>
      <c r="C60" s="188"/>
      <c r="D60" s="188"/>
      <c r="E60" s="188"/>
      <c r="F60" s="188"/>
    </row>
    <row r="61" spans="1:6" x14ac:dyDescent="0.3">
      <c r="A61" s="2" t="s">
        <v>384</v>
      </c>
      <c r="B61" s="188" t="s">
        <v>385</v>
      </c>
      <c r="C61" s="188"/>
      <c r="D61" s="188"/>
      <c r="E61" s="188"/>
      <c r="F61" s="188"/>
    </row>
    <row r="62" spans="1:6" x14ac:dyDescent="0.3">
      <c r="A62" s="223" t="s">
        <v>347</v>
      </c>
      <c r="B62" s="70" t="s">
        <v>386</v>
      </c>
      <c r="C62" s="70" t="s">
        <v>387</v>
      </c>
      <c r="D62" s="70" t="s">
        <v>388</v>
      </c>
      <c r="E62" s="70" t="s">
        <v>389</v>
      </c>
      <c r="F62" s="74" t="s">
        <v>346</v>
      </c>
    </row>
    <row r="63" spans="1:6" x14ac:dyDescent="0.3">
      <c r="A63" s="223"/>
      <c r="B63" s="99">
        <f>'Salários.VA.VT.QteDias.LDI.T'!D19</f>
        <v>4</v>
      </c>
      <c r="C63" s="70">
        <v>2</v>
      </c>
      <c r="D63" s="70">
        <f>'Salários.VA.VT.QteDias.LDI.T'!C36</f>
        <v>21</v>
      </c>
      <c r="E63" s="99">
        <f>TRUNC(($F$34*6%),2)</f>
        <v>95.21</v>
      </c>
      <c r="F63" s="75">
        <f>TRUNC(IF(E63&gt;=168,0,((B63*C63*D63)-E63)),2)</f>
        <v>72.790000000000006</v>
      </c>
    </row>
    <row r="64" spans="1:6" x14ac:dyDescent="0.3">
      <c r="A64" s="219" t="s">
        <v>349</v>
      </c>
      <c r="B64" s="219" t="s">
        <v>390</v>
      </c>
      <c r="C64" s="219"/>
      <c r="D64" s="89" t="s">
        <v>388</v>
      </c>
      <c r="E64" s="89" t="s">
        <v>389</v>
      </c>
      <c r="F64" s="72" t="s">
        <v>346</v>
      </c>
    </row>
    <row r="65" spans="1:8" x14ac:dyDescent="0.3">
      <c r="A65" s="219"/>
      <c r="B65" s="231">
        <f>'Salários.VA.VT.QteDias.LDI.T'!C19</f>
        <v>26.7</v>
      </c>
      <c r="C65" s="231"/>
      <c r="D65" s="89">
        <f>'Salários.VA.VT.QteDias.LDI.T'!C36</f>
        <v>21</v>
      </c>
      <c r="E65" s="100">
        <f>TRUNC(0.1*(B65*D65),2)</f>
        <v>56.07</v>
      </c>
      <c r="F65" s="73">
        <f>TRUNC(((B65*D65)-E65),2)</f>
        <v>504.63</v>
      </c>
    </row>
    <row r="66" spans="1:8" x14ac:dyDescent="0.3">
      <c r="A66" s="223" t="s">
        <v>351</v>
      </c>
      <c r="B66" s="189" t="s">
        <v>391</v>
      </c>
      <c r="C66" s="189"/>
      <c r="D66" s="189"/>
      <c r="E66" s="189"/>
      <c r="F66" s="74" t="s">
        <v>346</v>
      </c>
    </row>
    <row r="67" spans="1:8" x14ac:dyDescent="0.3">
      <c r="A67" s="223"/>
      <c r="B67" s="189"/>
      <c r="C67" s="189"/>
      <c r="D67" s="189"/>
      <c r="E67" s="189"/>
      <c r="F67" s="137">
        <v>6</v>
      </c>
    </row>
    <row r="68" spans="1:8" x14ac:dyDescent="0.3">
      <c r="A68" s="219" t="s">
        <v>353</v>
      </c>
      <c r="B68" s="190" t="s">
        <v>392</v>
      </c>
      <c r="C68" s="190"/>
      <c r="D68" s="190"/>
      <c r="E68" s="190"/>
      <c r="F68" s="72" t="s">
        <v>346</v>
      </c>
    </row>
    <row r="69" spans="1:8" x14ac:dyDescent="0.3">
      <c r="A69" s="219"/>
      <c r="B69" s="190"/>
      <c r="C69" s="190"/>
      <c r="D69" s="190"/>
      <c r="E69" s="190"/>
      <c r="F69" s="138">
        <v>19.899999999999999</v>
      </c>
    </row>
    <row r="70" spans="1:8" x14ac:dyDescent="0.3">
      <c r="A70" s="223" t="s">
        <v>355</v>
      </c>
      <c r="B70" s="189" t="s">
        <v>360</v>
      </c>
      <c r="C70" s="189"/>
      <c r="D70" s="189"/>
      <c r="E70" s="189"/>
      <c r="F70" s="74" t="s">
        <v>346</v>
      </c>
    </row>
    <row r="71" spans="1:8" x14ac:dyDescent="0.3">
      <c r="A71" s="223"/>
      <c r="B71" s="189"/>
      <c r="C71" s="189"/>
      <c r="D71" s="189"/>
      <c r="E71" s="189"/>
      <c r="F71" s="137">
        <v>0</v>
      </c>
    </row>
    <row r="72" spans="1:8" x14ac:dyDescent="0.3">
      <c r="A72" s="205" t="s">
        <v>393</v>
      </c>
      <c r="B72" s="205"/>
      <c r="C72" s="205"/>
      <c r="D72" s="205"/>
      <c r="E72" s="205"/>
      <c r="F72" s="76">
        <f>TRUNC(SUM(F63,F65,F67,F69,F71),2)</f>
        <v>603.32000000000005</v>
      </c>
    </row>
    <row r="73" spans="1:8" x14ac:dyDescent="0.3">
      <c r="A73" s="188" t="s">
        <v>394</v>
      </c>
      <c r="B73" s="188"/>
      <c r="C73" s="188"/>
      <c r="D73" s="188"/>
      <c r="E73" s="188"/>
      <c r="F73" s="188"/>
    </row>
    <row r="74" spans="1:8" x14ac:dyDescent="0.3">
      <c r="A74" s="70" t="s">
        <v>395</v>
      </c>
      <c r="B74" s="230" t="s">
        <v>396</v>
      </c>
      <c r="C74" s="230"/>
      <c r="D74" s="230"/>
      <c r="E74" s="230"/>
      <c r="F74" s="70" t="s">
        <v>346</v>
      </c>
      <c r="H74" s="85"/>
    </row>
    <row r="75" spans="1:8" x14ac:dyDescent="0.3">
      <c r="A75" s="89" t="s">
        <v>364</v>
      </c>
      <c r="B75" s="228" t="s">
        <v>397</v>
      </c>
      <c r="C75" s="228"/>
      <c r="D75" s="228"/>
      <c r="E75" s="228"/>
      <c r="F75" s="100">
        <f>$F$48</f>
        <v>176.24</v>
      </c>
    </row>
    <row r="76" spans="1:8" x14ac:dyDescent="0.3">
      <c r="A76" s="70" t="s">
        <v>371</v>
      </c>
      <c r="B76" s="230" t="s">
        <v>398</v>
      </c>
      <c r="C76" s="230"/>
      <c r="D76" s="230"/>
      <c r="E76" s="230"/>
      <c r="F76" s="99">
        <f>$F$59</f>
        <v>648.78</v>
      </c>
    </row>
    <row r="77" spans="1:8" x14ac:dyDescent="0.3">
      <c r="A77" s="89" t="s">
        <v>384</v>
      </c>
      <c r="B77" s="228" t="s">
        <v>385</v>
      </c>
      <c r="C77" s="228"/>
      <c r="D77" s="228"/>
      <c r="E77" s="228"/>
      <c r="F77" s="100">
        <f>$F$72</f>
        <v>603.32000000000005</v>
      </c>
    </row>
    <row r="78" spans="1:8" x14ac:dyDescent="0.3">
      <c r="A78" s="205" t="s">
        <v>399</v>
      </c>
      <c r="B78" s="205"/>
      <c r="C78" s="205"/>
      <c r="D78" s="205"/>
      <c r="E78" s="205"/>
      <c r="F78" s="76">
        <f>TRUNC(SUM(F75:F77),2)</f>
        <v>1428.34</v>
      </c>
    </row>
    <row r="79" spans="1:8" x14ac:dyDescent="0.3">
      <c r="A79" s="206"/>
      <c r="B79" s="206"/>
      <c r="C79" s="206"/>
      <c r="D79" s="206"/>
      <c r="E79" s="206"/>
      <c r="F79" s="206"/>
    </row>
    <row r="80" spans="1:8" x14ac:dyDescent="0.3">
      <c r="A80" s="195" t="s">
        <v>400</v>
      </c>
      <c r="B80" s="195"/>
      <c r="C80" s="195"/>
      <c r="D80" s="195"/>
      <c r="E80" s="195"/>
      <c r="F80" s="195"/>
    </row>
    <row r="81" spans="1:6" x14ac:dyDescent="0.3">
      <c r="A81" s="70">
        <v>3</v>
      </c>
      <c r="B81" s="218" t="s">
        <v>401</v>
      </c>
      <c r="C81" s="218"/>
      <c r="D81" s="218"/>
      <c r="E81" s="71" t="s">
        <v>366</v>
      </c>
      <c r="F81" s="71" t="s">
        <v>346</v>
      </c>
    </row>
    <row r="82" spans="1:6" x14ac:dyDescent="0.3">
      <c r="A82" s="72" t="s">
        <v>347</v>
      </c>
      <c r="B82" s="190" t="s">
        <v>402</v>
      </c>
      <c r="C82" s="190"/>
      <c r="D82" s="190"/>
      <c r="E82" s="140">
        <f>(56.24%)*5.55%*(1/12)</f>
        <v>2.6010999999999999E-3</v>
      </c>
      <c r="F82" s="73">
        <f>TRUNC((($F$41+$F$48)*E82),2)</f>
        <v>4.58</v>
      </c>
    </row>
    <row r="83" spans="1:6" x14ac:dyDescent="0.3">
      <c r="A83" s="74" t="s">
        <v>349</v>
      </c>
      <c r="B83" s="189" t="s">
        <v>403</v>
      </c>
      <c r="C83" s="189"/>
      <c r="D83" s="189"/>
      <c r="E83" s="139">
        <f>(8%*0.29%)</f>
        <v>2.32E-4</v>
      </c>
      <c r="F83" s="87">
        <f>TRUNC((($F$41+$F$48)*E83),2)</f>
        <v>0.4</v>
      </c>
    </row>
    <row r="84" spans="1:6" ht="16.5" customHeight="1" x14ac:dyDescent="0.3">
      <c r="A84" s="72" t="s">
        <v>351</v>
      </c>
      <c r="B84" s="229" t="s">
        <v>404</v>
      </c>
      <c r="C84" s="229"/>
      <c r="D84" s="229"/>
      <c r="E84" s="140">
        <f>(56.24%)*5.55%*40%*8%</f>
        <v>9.9882240000000004E-4</v>
      </c>
      <c r="F84" s="73">
        <f>TRUNC((($F$41+$F$48)*E84),2)</f>
        <v>1.76</v>
      </c>
    </row>
    <row r="85" spans="1:6" x14ac:dyDescent="0.3">
      <c r="A85" s="74" t="s">
        <v>353</v>
      </c>
      <c r="B85" s="189" t="s">
        <v>405</v>
      </c>
      <c r="C85" s="189"/>
      <c r="D85" s="189"/>
      <c r="E85" s="139">
        <f>((56.24%)*94.45%*(7/30)/12)</f>
        <v>1.0328632222222222E-2</v>
      </c>
      <c r="F85" s="87">
        <f>TRUNC((($F$41+$F$48)*E85),2)</f>
        <v>18.21</v>
      </c>
    </row>
    <row r="86" spans="1:6" x14ac:dyDescent="0.3">
      <c r="A86" s="73" t="s">
        <v>355</v>
      </c>
      <c r="B86" s="201" t="s">
        <v>461</v>
      </c>
      <c r="C86" s="201"/>
      <c r="D86" s="201"/>
      <c r="E86" s="140">
        <f>1.03%*36.8%</f>
        <v>3.7904000000000002E-3</v>
      </c>
      <c r="F86" s="73">
        <f>TRUNC((($F$41+$F$48)*E86),2)</f>
        <v>6.68</v>
      </c>
    </row>
    <row r="87" spans="1:6" x14ac:dyDescent="0.3">
      <c r="A87" s="74" t="s">
        <v>357</v>
      </c>
      <c r="B87" s="189" t="s">
        <v>407</v>
      </c>
      <c r="C87" s="189"/>
      <c r="D87" s="189"/>
      <c r="E87" s="139">
        <f>(56.24%)*94.45%*40%*8%</f>
        <v>1.6997977600000002E-2</v>
      </c>
      <c r="F87" s="87">
        <f>TRUNC((($F$41+F48)*E87),2)</f>
        <v>29.96</v>
      </c>
    </row>
    <row r="88" spans="1:6" x14ac:dyDescent="0.3">
      <c r="A88" s="205" t="s">
        <v>408</v>
      </c>
      <c r="B88" s="205"/>
      <c r="C88" s="205"/>
      <c r="D88" s="205"/>
      <c r="E88" s="98">
        <f>SUM(E82:E87)</f>
        <v>3.4948932222222229E-2</v>
      </c>
      <c r="F88" s="76">
        <f>TRUNC(SUM(F82:F87),2)</f>
        <v>61.59</v>
      </c>
    </row>
    <row r="89" spans="1:6" x14ac:dyDescent="0.3">
      <c r="A89" s="206"/>
      <c r="B89" s="206"/>
      <c r="C89" s="206"/>
      <c r="D89" s="206"/>
      <c r="E89" s="206"/>
      <c r="F89" s="206"/>
    </row>
    <row r="90" spans="1:6" x14ac:dyDescent="0.3">
      <c r="A90" s="226" t="s">
        <v>409</v>
      </c>
      <c r="B90" s="226"/>
      <c r="C90" s="226"/>
      <c r="D90" s="226"/>
      <c r="E90" s="226"/>
      <c r="F90" s="226"/>
    </row>
    <row r="91" spans="1:6" x14ac:dyDescent="0.3">
      <c r="A91" s="227" t="s">
        <v>410</v>
      </c>
      <c r="B91" s="227"/>
      <c r="C91" s="227"/>
      <c r="D91" s="227"/>
      <c r="E91" s="227"/>
      <c r="F91" s="227"/>
    </row>
    <row r="92" spans="1:6" x14ac:dyDescent="0.3">
      <c r="A92" s="101" t="s">
        <v>411</v>
      </c>
      <c r="B92" s="224" t="s">
        <v>412</v>
      </c>
      <c r="C92" s="224"/>
      <c r="D92" s="224"/>
      <c r="E92" s="102" t="s">
        <v>366</v>
      </c>
      <c r="F92" s="102" t="s">
        <v>346</v>
      </c>
    </row>
    <row r="93" spans="1:6" x14ac:dyDescent="0.3">
      <c r="A93" s="72" t="s">
        <v>347</v>
      </c>
      <c r="B93" s="190" t="s">
        <v>462</v>
      </c>
      <c r="C93" s="190"/>
      <c r="D93" s="190"/>
      <c r="E93" s="82"/>
      <c r="F93" s="103">
        <f t="shared" ref="F93:F98" si="1">TRUNC((($F$41+$F$78)*E93),2)</f>
        <v>0</v>
      </c>
    </row>
    <row r="94" spans="1:6" x14ac:dyDescent="0.3">
      <c r="A94" s="74" t="s">
        <v>349</v>
      </c>
      <c r="B94" s="189" t="s">
        <v>463</v>
      </c>
      <c r="C94" s="189"/>
      <c r="D94" s="189"/>
      <c r="E94" s="139">
        <f>(8/30)/12</f>
        <v>2.2222222222222223E-2</v>
      </c>
      <c r="F94" s="87">
        <f t="shared" si="1"/>
        <v>67</v>
      </c>
    </row>
    <row r="95" spans="1:6" x14ac:dyDescent="0.3">
      <c r="A95" s="72" t="s">
        <v>351</v>
      </c>
      <c r="B95" s="190" t="s">
        <v>464</v>
      </c>
      <c r="C95" s="190"/>
      <c r="D95" s="190"/>
      <c r="E95" s="140">
        <f>(((20/30)/12)*1.416%*45.22%)</f>
        <v>3.557306666666666E-4</v>
      </c>
      <c r="F95" s="103">
        <f t="shared" si="1"/>
        <v>1.07</v>
      </c>
    </row>
    <row r="96" spans="1:6" x14ac:dyDescent="0.3">
      <c r="A96" s="74" t="s">
        <v>353</v>
      </c>
      <c r="B96" s="189" t="s">
        <v>465</v>
      </c>
      <c r="C96" s="189"/>
      <c r="D96" s="189"/>
      <c r="E96" s="139">
        <f>((15/30)/12)*0.44%</f>
        <v>1.8333333333333334E-4</v>
      </c>
      <c r="F96" s="87">
        <f t="shared" si="1"/>
        <v>0.55000000000000004</v>
      </c>
    </row>
    <row r="97" spans="1:6" x14ac:dyDescent="0.3">
      <c r="A97" s="72" t="s">
        <v>355</v>
      </c>
      <c r="B97" s="190" t="s">
        <v>466</v>
      </c>
      <c r="C97" s="190"/>
      <c r="D97" s="190"/>
      <c r="E97" s="140">
        <f>(((180/30)/12*1.416%*54.78%*36.8%))</f>
        <v>1.4272600319999999E-3</v>
      </c>
      <c r="F97" s="103">
        <f t="shared" si="1"/>
        <v>4.3</v>
      </c>
    </row>
    <row r="98" spans="1:6" x14ac:dyDescent="0.3">
      <c r="A98" s="74" t="s">
        <v>357</v>
      </c>
      <c r="B98" s="189" t="s">
        <v>467</v>
      </c>
      <c r="C98" s="189"/>
      <c r="D98" s="189"/>
      <c r="E98" s="139">
        <v>0</v>
      </c>
      <c r="F98" s="87">
        <f t="shared" si="1"/>
        <v>0</v>
      </c>
    </row>
    <row r="99" spans="1:6" x14ac:dyDescent="0.3">
      <c r="A99" s="226" t="s">
        <v>419</v>
      </c>
      <c r="B99" s="226"/>
      <c r="C99" s="226"/>
      <c r="D99" s="226"/>
      <c r="E99" s="104">
        <f>SUM(E93:E98)</f>
        <v>2.4188546254222225E-2</v>
      </c>
      <c r="F99" s="105">
        <f>TRUNC(SUM(F93:F98),2)</f>
        <v>72.92</v>
      </c>
    </row>
    <row r="100" spans="1:6" x14ac:dyDescent="0.3">
      <c r="A100" s="227" t="s">
        <v>420</v>
      </c>
      <c r="B100" s="227"/>
      <c r="C100" s="227"/>
      <c r="D100" s="227"/>
      <c r="E100" s="227"/>
      <c r="F100" s="227"/>
    </row>
    <row r="101" spans="1:6" x14ac:dyDescent="0.3">
      <c r="A101" s="101" t="s">
        <v>421</v>
      </c>
      <c r="B101" s="224" t="s">
        <v>422</v>
      </c>
      <c r="C101" s="224"/>
      <c r="D101" s="224"/>
      <c r="E101" s="102" t="s">
        <v>366</v>
      </c>
      <c r="F101" s="102" t="s">
        <v>346</v>
      </c>
    </row>
    <row r="102" spans="1:6" x14ac:dyDescent="0.3">
      <c r="A102" s="72" t="s">
        <v>347</v>
      </c>
      <c r="B102" s="190" t="s">
        <v>468</v>
      </c>
      <c r="C102" s="190"/>
      <c r="D102" s="190"/>
      <c r="E102" s="106" t="s">
        <v>424</v>
      </c>
      <c r="F102" s="107">
        <v>0</v>
      </c>
    </row>
    <row r="103" spans="1:6" x14ac:dyDescent="0.3">
      <c r="A103" s="196" t="s">
        <v>425</v>
      </c>
      <c r="B103" s="196"/>
      <c r="C103" s="196"/>
      <c r="D103" s="196"/>
      <c r="E103" s="196"/>
      <c r="F103" s="196"/>
    </row>
    <row r="104" spans="1:6" x14ac:dyDescent="0.3">
      <c r="A104" s="101" t="s">
        <v>426</v>
      </c>
      <c r="B104" s="224" t="s">
        <v>427</v>
      </c>
      <c r="C104" s="224"/>
      <c r="D104" s="224"/>
      <c r="E104" s="224"/>
      <c r="F104" s="102" t="s">
        <v>346</v>
      </c>
    </row>
    <row r="105" spans="1:6" x14ac:dyDescent="0.3">
      <c r="A105" s="108" t="s">
        <v>411</v>
      </c>
      <c r="B105" s="225" t="s">
        <v>412</v>
      </c>
      <c r="C105" s="225"/>
      <c r="D105" s="225"/>
      <c r="E105" s="225"/>
      <c r="F105" s="107">
        <f>$F$99</f>
        <v>72.92</v>
      </c>
    </row>
    <row r="106" spans="1:6" x14ac:dyDescent="0.3">
      <c r="A106" s="101" t="s">
        <v>421</v>
      </c>
      <c r="B106" s="224" t="s">
        <v>422</v>
      </c>
      <c r="C106" s="224"/>
      <c r="D106" s="224"/>
      <c r="E106" s="224"/>
      <c r="F106" s="109">
        <v>0</v>
      </c>
    </row>
    <row r="107" spans="1:6" x14ac:dyDescent="0.3">
      <c r="A107" s="195" t="s">
        <v>428</v>
      </c>
      <c r="B107" s="195"/>
      <c r="C107" s="195"/>
      <c r="D107" s="195"/>
      <c r="E107" s="195"/>
      <c r="F107" s="105">
        <f>TRUNC(SUM(F105+F106),2)</f>
        <v>72.92</v>
      </c>
    </row>
    <row r="108" spans="1:6" x14ac:dyDescent="0.3">
      <c r="A108" s="206"/>
      <c r="B108" s="206"/>
      <c r="C108" s="206"/>
      <c r="D108" s="206"/>
      <c r="E108" s="206"/>
      <c r="F108" s="206"/>
    </row>
    <row r="109" spans="1:6" x14ac:dyDescent="0.3">
      <c r="A109" s="205" t="s">
        <v>429</v>
      </c>
      <c r="B109" s="205"/>
      <c r="C109" s="205"/>
      <c r="D109" s="205"/>
      <c r="E109" s="205"/>
      <c r="F109" s="205"/>
    </row>
    <row r="110" spans="1:6" x14ac:dyDescent="0.3">
      <c r="A110" s="70">
        <v>5</v>
      </c>
      <c r="B110" s="218" t="s">
        <v>430</v>
      </c>
      <c r="C110" s="218"/>
      <c r="D110" s="218"/>
      <c r="E110" s="218"/>
      <c r="F110" s="71" t="s">
        <v>346</v>
      </c>
    </row>
    <row r="111" spans="1:6" x14ac:dyDescent="0.3">
      <c r="A111" s="89" t="s">
        <v>347</v>
      </c>
      <c r="B111" s="197" t="s">
        <v>21</v>
      </c>
      <c r="C111" s="197"/>
      <c r="D111" s="197"/>
      <c r="E111" s="197"/>
      <c r="F111" s="100">
        <f>Unif!I34</f>
        <v>96.37</v>
      </c>
    </row>
    <row r="112" spans="1:6" x14ac:dyDescent="0.3">
      <c r="A112" s="70" t="s">
        <v>349</v>
      </c>
      <c r="B112" s="218" t="s">
        <v>431</v>
      </c>
      <c r="C112" s="218"/>
      <c r="D112" s="218"/>
      <c r="E112" s="218"/>
      <c r="F112" s="99">
        <f>('MLHCC - Ônus da Contratada'!G19+MLPH!F91)</f>
        <v>200.2</v>
      </c>
    </row>
    <row r="113" spans="1:6" x14ac:dyDescent="0.3">
      <c r="A113" s="89" t="s">
        <v>351</v>
      </c>
      <c r="B113" s="197" t="s">
        <v>432</v>
      </c>
      <c r="C113" s="197"/>
      <c r="D113" s="197"/>
      <c r="E113" s="197"/>
      <c r="F113" s="100"/>
    </row>
    <row r="114" spans="1:6" x14ac:dyDescent="0.3">
      <c r="A114" s="74" t="s">
        <v>353</v>
      </c>
      <c r="B114" s="189" t="s">
        <v>433</v>
      </c>
      <c r="C114" s="189"/>
      <c r="D114" s="189"/>
      <c r="E114" s="189"/>
      <c r="F114" s="99">
        <f>'EPI´s - LC'!E8</f>
        <v>5.23</v>
      </c>
    </row>
    <row r="115" spans="1:6" x14ac:dyDescent="0.3">
      <c r="A115" s="205" t="s">
        <v>434</v>
      </c>
      <c r="B115" s="205"/>
      <c r="C115" s="205"/>
      <c r="D115" s="205"/>
      <c r="E115" s="205"/>
      <c r="F115" s="76">
        <f>TRUNC(SUM(F111:F114),2)</f>
        <v>301.8</v>
      </c>
    </row>
    <row r="116" spans="1:6" x14ac:dyDescent="0.3">
      <c r="A116" s="206"/>
      <c r="B116" s="206"/>
      <c r="C116" s="206"/>
      <c r="D116" s="206"/>
      <c r="E116" s="206"/>
      <c r="F116" s="206"/>
    </row>
    <row r="117" spans="1:6" x14ac:dyDescent="0.3">
      <c r="A117" s="205" t="s">
        <v>435</v>
      </c>
      <c r="B117" s="205"/>
      <c r="C117" s="205"/>
      <c r="D117" s="205"/>
      <c r="E117" s="205"/>
      <c r="F117" s="205"/>
    </row>
    <row r="118" spans="1:6" x14ac:dyDescent="0.3">
      <c r="A118" s="223" t="s">
        <v>436</v>
      </c>
      <c r="B118" s="223"/>
      <c r="C118" s="223"/>
      <c r="D118" s="223"/>
      <c r="E118" s="71" t="s">
        <v>366</v>
      </c>
      <c r="F118" s="102" t="s">
        <v>346</v>
      </c>
    </row>
    <row r="119" spans="1:6" x14ac:dyDescent="0.3">
      <c r="A119" s="89" t="s">
        <v>347</v>
      </c>
      <c r="B119" s="197" t="s">
        <v>437</v>
      </c>
      <c r="C119" s="197"/>
      <c r="D119" s="197"/>
      <c r="E119" s="110">
        <f>'Salários.VA.VT.QteDias.LDI.T'!$D$46</f>
        <v>4.7300000000000002E-2</v>
      </c>
      <c r="F119" s="73">
        <f>TRUNC(($F$134*$E$119),2)</f>
        <v>163.25</v>
      </c>
    </row>
    <row r="120" spans="1:6" x14ac:dyDescent="0.3">
      <c r="A120" s="70" t="s">
        <v>349</v>
      </c>
      <c r="B120" s="218" t="s">
        <v>438</v>
      </c>
      <c r="C120" s="218"/>
      <c r="D120" s="218"/>
      <c r="E120" s="111">
        <f>'Salários.VA.VT.QteDias.LDI.T'!$D$47</f>
        <v>5.57E-2</v>
      </c>
      <c r="F120" s="75">
        <f>TRUNC((($F$134+$F$119)*E120),2)</f>
        <v>201.34</v>
      </c>
    </row>
    <row r="121" spans="1:6" x14ac:dyDescent="0.3">
      <c r="A121" s="210" t="s">
        <v>439</v>
      </c>
      <c r="B121" s="210"/>
      <c r="C121" s="210"/>
      <c r="D121" s="210"/>
      <c r="E121" s="4" t="s">
        <v>366</v>
      </c>
      <c r="F121" s="112" t="s">
        <v>346</v>
      </c>
    </row>
    <row r="122" spans="1:6" x14ac:dyDescent="0.3">
      <c r="A122" s="113" t="s">
        <v>347</v>
      </c>
      <c r="B122" s="220" t="s">
        <v>55</v>
      </c>
      <c r="C122" s="220"/>
      <c r="D122" s="220"/>
      <c r="E122" s="144">
        <v>6.4999999999999997E-3</v>
      </c>
      <c r="F122" s="75">
        <f>TRUNC(((($F$134+$F$119+$F$120)/0.9135)*E122),2)</f>
        <v>27.15</v>
      </c>
    </row>
    <row r="123" spans="1:6" x14ac:dyDescent="0.3">
      <c r="A123" s="58" t="s">
        <v>349</v>
      </c>
      <c r="B123" s="221" t="s">
        <v>440</v>
      </c>
      <c r="C123" s="221"/>
      <c r="D123" s="221"/>
      <c r="E123" s="145">
        <v>0.03</v>
      </c>
      <c r="F123" s="90">
        <f>TRUNC(((($F$134+$F$119+$F$120)/0.9135)*E123),2)</f>
        <v>125.32</v>
      </c>
    </row>
    <row r="124" spans="1:6" x14ac:dyDescent="0.3">
      <c r="A124" s="113" t="s">
        <v>351</v>
      </c>
      <c r="B124" s="220" t="s">
        <v>57</v>
      </c>
      <c r="C124" s="220"/>
      <c r="D124" s="220"/>
      <c r="E124" s="144">
        <v>0.05</v>
      </c>
      <c r="F124" s="75">
        <f>TRUNC(((($F$134+$F$119+$F$120)/0.9135)*E124),2)</f>
        <v>208.87</v>
      </c>
    </row>
    <row r="125" spans="1:6" x14ac:dyDescent="0.3">
      <c r="A125" s="205" t="s">
        <v>441</v>
      </c>
      <c r="B125" s="205"/>
      <c r="C125" s="205"/>
      <c r="D125" s="205"/>
      <c r="E125" s="98">
        <f>SUM(E122:E124)</f>
        <v>8.6499999999999994E-2</v>
      </c>
      <c r="F125" s="76">
        <f>TRUNC(SUM($F$119,$F$120,$F$122,$F$123,$F$124),2)</f>
        <v>725.93</v>
      </c>
    </row>
    <row r="126" spans="1:6" x14ac:dyDescent="0.3">
      <c r="A126" s="206"/>
      <c r="B126" s="206"/>
      <c r="C126" s="206"/>
      <c r="D126" s="206"/>
      <c r="E126" s="206"/>
      <c r="F126" s="206"/>
    </row>
    <row r="127" spans="1:6" x14ac:dyDescent="0.3">
      <c r="A127" s="222" t="s">
        <v>442</v>
      </c>
      <c r="B127" s="222"/>
      <c r="C127" s="222"/>
      <c r="D127" s="222"/>
      <c r="E127" s="222"/>
      <c r="F127" s="222"/>
    </row>
    <row r="128" spans="1:6" x14ac:dyDescent="0.3">
      <c r="A128" s="188" t="s">
        <v>443</v>
      </c>
      <c r="B128" s="188"/>
      <c r="C128" s="188"/>
      <c r="D128" s="188"/>
      <c r="E128" s="188"/>
      <c r="F128" s="3" t="s">
        <v>346</v>
      </c>
    </row>
    <row r="129" spans="1:8" x14ac:dyDescent="0.3">
      <c r="A129" s="70" t="s">
        <v>347</v>
      </c>
      <c r="B129" s="218" t="s">
        <v>444</v>
      </c>
      <c r="C129" s="218"/>
      <c r="D129" s="218"/>
      <c r="E129" s="218"/>
      <c r="F129" s="99">
        <f>$F$41</f>
        <v>1586.86</v>
      </c>
    </row>
    <row r="130" spans="1:8" x14ac:dyDescent="0.3">
      <c r="A130" s="89" t="s">
        <v>349</v>
      </c>
      <c r="B130" s="197" t="s">
        <v>445</v>
      </c>
      <c r="C130" s="197"/>
      <c r="D130" s="197"/>
      <c r="E130" s="197"/>
      <c r="F130" s="100">
        <f>$F$78</f>
        <v>1428.34</v>
      </c>
    </row>
    <row r="131" spans="1:8" x14ac:dyDescent="0.3">
      <c r="A131" s="70" t="s">
        <v>351</v>
      </c>
      <c r="B131" s="218" t="s">
        <v>446</v>
      </c>
      <c r="C131" s="218"/>
      <c r="D131" s="218"/>
      <c r="E131" s="218"/>
      <c r="F131" s="99">
        <f>$F$88</f>
        <v>61.59</v>
      </c>
    </row>
    <row r="132" spans="1:8" x14ac:dyDescent="0.3">
      <c r="A132" s="89" t="s">
        <v>353</v>
      </c>
      <c r="B132" s="197" t="s">
        <v>447</v>
      </c>
      <c r="C132" s="197"/>
      <c r="D132" s="197"/>
      <c r="E132" s="197"/>
      <c r="F132" s="100">
        <f>$F$107</f>
        <v>72.92</v>
      </c>
    </row>
    <row r="133" spans="1:8" x14ac:dyDescent="0.3">
      <c r="A133" s="70" t="s">
        <v>355</v>
      </c>
      <c r="B133" s="218" t="s">
        <v>448</v>
      </c>
      <c r="C133" s="218"/>
      <c r="D133" s="218"/>
      <c r="E133" s="218"/>
      <c r="F133" s="99">
        <f>$F$115</f>
        <v>301.8</v>
      </c>
    </row>
    <row r="134" spans="1:8" x14ac:dyDescent="0.3">
      <c r="A134" s="219" t="s">
        <v>449</v>
      </c>
      <c r="B134" s="219"/>
      <c r="C134" s="219"/>
      <c r="D134" s="219"/>
      <c r="E134" s="219"/>
      <c r="F134" s="100">
        <f>TRUNC(SUM(F129:F133),2)</f>
        <v>3451.51</v>
      </c>
    </row>
    <row r="135" spans="1:8" x14ac:dyDescent="0.3">
      <c r="A135" s="70" t="s">
        <v>357</v>
      </c>
      <c r="B135" s="208" t="s">
        <v>450</v>
      </c>
      <c r="C135" s="208"/>
      <c r="D135" s="208"/>
      <c r="E135" s="208"/>
      <c r="F135" s="99">
        <f>TRUNC(($F$125),2)</f>
        <v>725.93</v>
      </c>
    </row>
    <row r="136" spans="1:8" ht="16.5" customHeight="1" x14ac:dyDescent="0.3">
      <c r="A136" s="219" t="s">
        <v>451</v>
      </c>
      <c r="B136" s="219"/>
      <c r="C136" s="219"/>
      <c r="D136" s="219"/>
      <c r="E136" s="219"/>
      <c r="F136" s="100">
        <f>TRUNC(($F$134 + $F$135),2)</f>
        <v>4177.4399999999996</v>
      </c>
    </row>
    <row r="137" spans="1:8" ht="16.5" customHeight="1" x14ac:dyDescent="0.3">
      <c r="A137" s="206"/>
      <c r="B137" s="206"/>
      <c r="C137" s="206"/>
      <c r="D137" s="206"/>
      <c r="E137" s="206"/>
      <c r="F137" s="206"/>
      <c r="H137" s="85"/>
    </row>
    <row r="138" spans="1:8" ht="16.5" customHeight="1" x14ac:dyDescent="0.3">
      <c r="A138" s="165" t="s">
        <v>452</v>
      </c>
      <c r="B138" s="165"/>
      <c r="C138" s="165"/>
      <c r="D138" s="165"/>
      <c r="E138" s="165"/>
      <c r="F138" s="165"/>
    </row>
    <row r="139" spans="1:8" x14ac:dyDescent="0.3">
      <c r="A139" s="114" t="s">
        <v>453</v>
      </c>
      <c r="B139" s="115" t="s">
        <v>454</v>
      </c>
      <c r="C139" s="94" t="s">
        <v>455</v>
      </c>
      <c r="D139" s="115" t="s">
        <v>456</v>
      </c>
      <c r="E139" s="115" t="s">
        <v>457</v>
      </c>
      <c r="F139" s="115" t="s">
        <v>74</v>
      </c>
    </row>
    <row r="140" spans="1:8" ht="20.399999999999999" x14ac:dyDescent="0.3">
      <c r="A140" s="116" t="str">
        <f>$C$26</f>
        <v>Serventes de Limpeza e Conservação</v>
      </c>
      <c r="B140" s="117">
        <f>$F$136</f>
        <v>4177.4399999999996</v>
      </c>
      <c r="C140" s="116">
        <f>$C$22</f>
        <v>1</v>
      </c>
      <c r="D140" s="116">
        <f>$C$18</f>
        <v>12</v>
      </c>
      <c r="E140" s="117">
        <f>TRUNC(($B$140 * $C$140),2)</f>
        <v>4177.4399999999996</v>
      </c>
      <c r="F140" s="117">
        <f>TRUNC(($D$140 * $E$140),2)</f>
        <v>50129.279999999999</v>
      </c>
    </row>
    <row r="141" spans="1:8" x14ac:dyDescent="0.3">
      <c r="A141" s="118"/>
      <c r="B141" s="118"/>
      <c r="C141" s="118"/>
      <c r="D141" s="118"/>
      <c r="E141" s="118"/>
      <c r="F141" s="118"/>
    </row>
    <row r="142" spans="1:8" x14ac:dyDescent="0.3">
      <c r="A142" s="118"/>
      <c r="B142" s="118"/>
      <c r="C142" s="118"/>
      <c r="D142" s="118"/>
      <c r="E142" s="118"/>
      <c r="F142" s="118"/>
    </row>
    <row r="143" spans="1:8" x14ac:dyDescent="0.3">
      <c r="A143" s="66"/>
      <c r="B143" s="66"/>
      <c r="C143" s="66"/>
      <c r="D143" s="66"/>
      <c r="E143" s="66"/>
      <c r="F143" s="66"/>
    </row>
  </sheetData>
  <sheetProtection sheet="1" objects="1" scenarios="1"/>
  <protectedRanges>
    <protectedRange sqref="C10:F10 C13:F13 C15:F15 C16:F16 C17:F17 C28:F28 C30:F30 F35 F36 F37 F38 F39 F40 E53 F67 F69 F71 E82 E83 E84 E85 E86 E87 E94 E95 E96 E97 E98 E122 E123 E124" name="Intervalo1"/>
  </protectedRanges>
  <mergeCells count="146">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s>
  <hyperlinks>
    <hyperlink ref="C9" r:id="rId1" location="/134037411" xr:uid="{00000000-0004-0000-0B00-000000000000}"/>
    <hyperlink ref="C27" r:id="rId2" xr:uid="{00000000-0004-0000-0B00-000001000000}"/>
  </hyperlinks>
  <pageMargins left="0.7" right="0.7" top="0.75" bottom="0.75" header="0.511811023622047" footer="0.511811023622047"/>
  <pageSetup paperSize="9" orientation="portrait" horizontalDpi="300" verticalDpi="30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6"/>
  <sheetViews>
    <sheetView zoomScale="110" zoomScaleNormal="110" workbookViewId="0">
      <selection activeCell="G54" sqref="G54"/>
    </sheetView>
  </sheetViews>
  <sheetFormatPr defaultColWidth="8.6640625"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x14ac:dyDescent="0.3">
      <c r="A1" s="164"/>
      <c r="B1" s="164"/>
      <c r="C1" s="164"/>
      <c r="D1" s="164"/>
      <c r="E1" s="164"/>
      <c r="F1" s="164"/>
      <c r="K1" s="119"/>
    </row>
    <row r="2" spans="1:11" ht="16.5" customHeight="1" x14ac:dyDescent="0.3">
      <c r="A2" s="165" t="s">
        <v>469</v>
      </c>
      <c r="B2" s="165"/>
      <c r="C2" s="165"/>
      <c r="D2" s="165"/>
      <c r="E2" s="165"/>
      <c r="F2" s="165"/>
    </row>
    <row r="3" spans="1:11" ht="16.5" customHeight="1" x14ac:dyDescent="0.3">
      <c r="A3" s="177" t="s">
        <v>470</v>
      </c>
      <c r="B3" s="177"/>
      <c r="C3" s="177"/>
      <c r="D3" s="177"/>
      <c r="E3" s="177"/>
      <c r="F3" s="177"/>
    </row>
    <row r="4" spans="1:11" ht="16.5" customHeight="1" x14ac:dyDescent="0.3">
      <c r="A4" s="165" t="s">
        <v>471</v>
      </c>
      <c r="B4" s="165"/>
      <c r="C4" s="165"/>
      <c r="D4" s="165"/>
      <c r="E4" s="165"/>
      <c r="F4" s="165"/>
    </row>
    <row r="5" spans="1:11" ht="16.5" customHeight="1" x14ac:dyDescent="0.3">
      <c r="A5" s="177" t="s">
        <v>472</v>
      </c>
      <c r="B5" s="177"/>
      <c r="C5" s="177"/>
      <c r="D5" s="177"/>
      <c r="E5" s="177"/>
      <c r="F5" s="177"/>
    </row>
    <row r="6" spans="1:11" ht="63.75" customHeight="1" x14ac:dyDescent="0.3">
      <c r="A6" s="176" t="s">
        <v>473</v>
      </c>
      <c r="B6" s="176"/>
      <c r="C6" s="176"/>
      <c r="D6" s="176"/>
      <c r="E6" s="176"/>
      <c r="F6" s="176"/>
    </row>
    <row r="7" spans="1:11" x14ac:dyDescent="0.3">
      <c r="A7" s="164"/>
      <c r="B7" s="164"/>
      <c r="C7" s="164"/>
      <c r="D7" s="164"/>
      <c r="E7" s="164"/>
      <c r="F7" s="164"/>
    </row>
    <row r="8" spans="1:11" ht="16.5" customHeight="1" x14ac:dyDescent="0.3">
      <c r="A8" s="165" t="s">
        <v>474</v>
      </c>
      <c r="B8" s="165"/>
      <c r="C8" s="165"/>
      <c r="D8" s="165"/>
      <c r="E8" s="165"/>
      <c r="F8" s="165"/>
    </row>
    <row r="9" spans="1:11" ht="16.5" customHeight="1" x14ac:dyDescent="0.3">
      <c r="A9" s="166" t="s">
        <v>475</v>
      </c>
      <c r="B9" s="166"/>
      <c r="C9" s="166"/>
      <c r="D9" s="166"/>
      <c r="E9" s="166"/>
      <c r="F9" s="166"/>
    </row>
    <row r="10" spans="1:11" ht="16.5" customHeight="1" x14ac:dyDescent="0.3">
      <c r="A10" s="162" t="s">
        <v>476</v>
      </c>
      <c r="B10" s="162"/>
      <c r="C10" s="162"/>
      <c r="D10" s="162"/>
      <c r="E10" s="162"/>
      <c r="F10" s="162"/>
    </row>
    <row r="11" spans="1:11" ht="16.5" customHeight="1" x14ac:dyDescent="0.3">
      <c r="A11" s="166" t="s">
        <v>477</v>
      </c>
      <c r="B11" s="166"/>
      <c r="C11" s="166"/>
      <c r="D11" s="166"/>
      <c r="E11" s="166"/>
      <c r="F11" s="166"/>
    </row>
    <row r="12" spans="1:11" ht="16.5" customHeight="1" x14ac:dyDescent="0.3">
      <c r="A12" s="175" t="s">
        <v>478</v>
      </c>
      <c r="B12" s="175"/>
      <c r="C12" s="162"/>
      <c r="D12" s="162"/>
      <c r="E12" s="162"/>
      <c r="F12" s="162"/>
    </row>
    <row r="13" spans="1:11" ht="16.5" customHeight="1" x14ac:dyDescent="0.3">
      <c r="A13" s="166" t="s">
        <v>479</v>
      </c>
      <c r="B13" s="166"/>
      <c r="C13" s="120"/>
      <c r="D13" s="120"/>
      <c r="E13" s="120"/>
      <c r="F13" s="120"/>
    </row>
    <row r="14" spans="1:11" ht="22.5" customHeight="1" x14ac:dyDescent="0.3">
      <c r="A14" s="162" t="s">
        <v>480</v>
      </c>
      <c r="B14" s="162"/>
      <c r="C14" s="68" t="s">
        <v>481</v>
      </c>
      <c r="D14" s="68" t="s">
        <v>482</v>
      </c>
      <c r="E14" s="68" t="s">
        <v>483</v>
      </c>
      <c r="F14" s="68" t="s">
        <v>484</v>
      </c>
    </row>
    <row r="15" spans="1:11" x14ac:dyDescent="0.3">
      <c r="A15" s="164"/>
      <c r="B15" s="164"/>
      <c r="C15" s="164"/>
      <c r="D15" s="164"/>
      <c r="E15" s="164"/>
      <c r="F15" s="164"/>
    </row>
    <row r="16" spans="1:11" ht="16.5" customHeight="1" x14ac:dyDescent="0.3">
      <c r="A16" s="165" t="s">
        <v>485</v>
      </c>
      <c r="B16" s="165"/>
      <c r="C16" s="165"/>
      <c r="D16" s="165"/>
      <c r="E16" s="165"/>
      <c r="F16" s="165"/>
    </row>
    <row r="17" spans="1:6" ht="16.5" customHeight="1" x14ac:dyDescent="0.3">
      <c r="A17" s="166" t="s">
        <v>486</v>
      </c>
      <c r="B17" s="166"/>
      <c r="C17" s="166"/>
      <c r="D17" s="166"/>
      <c r="E17" s="166"/>
      <c r="F17" s="166"/>
    </row>
    <row r="18" spans="1:6" ht="22.5" customHeight="1" x14ac:dyDescent="0.3">
      <c r="A18" s="162" t="s">
        <v>487</v>
      </c>
      <c r="B18" s="162"/>
      <c r="C18" s="68" t="s">
        <v>488</v>
      </c>
      <c r="D18" s="68" t="s">
        <v>489</v>
      </c>
      <c r="E18" s="162" t="s">
        <v>490</v>
      </c>
      <c r="F18" s="162"/>
    </row>
    <row r="19" spans="1:6" x14ac:dyDescent="0.3">
      <c r="A19" s="164"/>
      <c r="B19" s="164"/>
      <c r="C19" s="164"/>
      <c r="D19" s="164"/>
      <c r="E19" s="164"/>
      <c r="F19" s="164"/>
    </row>
    <row r="20" spans="1:6" ht="16.5" customHeight="1" x14ac:dyDescent="0.3">
      <c r="A20" s="165" t="s">
        <v>491</v>
      </c>
      <c r="B20" s="165"/>
      <c r="C20" s="165"/>
      <c r="D20" s="165"/>
      <c r="E20" s="165"/>
      <c r="F20" s="165"/>
    </row>
    <row r="21" spans="1:6" ht="16.5" customHeight="1" x14ac:dyDescent="0.3">
      <c r="A21" s="67" t="s">
        <v>347</v>
      </c>
      <c r="B21" s="174" t="s">
        <v>492</v>
      </c>
      <c r="C21" s="174"/>
      <c r="D21" s="174"/>
      <c r="E21" s="174"/>
      <c r="F21" s="174"/>
    </row>
    <row r="22" spans="1:6" ht="16.5" customHeight="1" x14ac:dyDescent="0.3">
      <c r="A22" s="68" t="s">
        <v>349</v>
      </c>
      <c r="B22" s="173" t="s">
        <v>493</v>
      </c>
      <c r="C22" s="173"/>
      <c r="D22" s="173"/>
      <c r="E22" s="173"/>
      <c r="F22" s="173"/>
    </row>
    <row r="23" spans="1:6" ht="21.75" customHeight="1" x14ac:dyDescent="0.3">
      <c r="A23" s="67" t="s">
        <v>351</v>
      </c>
      <c r="B23" s="174" t="s">
        <v>494</v>
      </c>
      <c r="C23" s="174"/>
      <c r="D23" s="174"/>
      <c r="E23" s="174"/>
      <c r="F23" s="174"/>
    </row>
    <row r="24" spans="1:6" ht="23.25" customHeight="1" x14ac:dyDescent="0.3">
      <c r="A24" s="68" t="s">
        <v>353</v>
      </c>
      <c r="B24" s="173" t="s">
        <v>495</v>
      </c>
      <c r="C24" s="173"/>
      <c r="D24" s="173"/>
      <c r="E24" s="173"/>
      <c r="F24" s="173"/>
    </row>
    <row r="25" spans="1:6" ht="36" customHeight="1" x14ac:dyDescent="0.3">
      <c r="A25" s="67" t="s">
        <v>355</v>
      </c>
      <c r="B25" s="174" t="s">
        <v>496</v>
      </c>
      <c r="C25" s="174"/>
      <c r="D25" s="174"/>
      <c r="E25" s="174"/>
      <c r="F25" s="174"/>
    </row>
    <row r="26" spans="1:6" ht="25.5" customHeight="1" x14ac:dyDescent="0.3">
      <c r="A26" s="68" t="s">
        <v>357</v>
      </c>
      <c r="B26" s="173" t="s">
        <v>497</v>
      </c>
      <c r="C26" s="173"/>
      <c r="D26" s="173"/>
      <c r="E26" s="173"/>
      <c r="F26" s="173"/>
    </row>
    <row r="27" spans="1:6" ht="31.5" customHeight="1" x14ac:dyDescent="0.3">
      <c r="A27" s="67" t="s">
        <v>359</v>
      </c>
      <c r="B27" s="174" t="s">
        <v>498</v>
      </c>
      <c r="C27" s="174"/>
      <c r="D27" s="174"/>
      <c r="E27" s="174"/>
      <c r="F27" s="174"/>
    </row>
    <row r="28" spans="1:6" ht="16.5" customHeight="1" x14ac:dyDescent="0.3">
      <c r="A28" s="68" t="s">
        <v>380</v>
      </c>
      <c r="B28" s="173" t="s">
        <v>499</v>
      </c>
      <c r="C28" s="173"/>
      <c r="D28" s="173"/>
      <c r="E28" s="173"/>
      <c r="F28" s="173"/>
    </row>
    <row r="29" spans="1:6" ht="16.5" customHeight="1" x14ac:dyDescent="0.3">
      <c r="A29" s="67" t="s">
        <v>500</v>
      </c>
      <c r="B29" s="174" t="s">
        <v>501</v>
      </c>
      <c r="C29" s="174"/>
      <c r="D29" s="174"/>
      <c r="E29" s="174"/>
      <c r="F29" s="174"/>
    </row>
    <row r="30" spans="1:6" ht="24.75" customHeight="1" x14ac:dyDescent="0.3">
      <c r="A30" s="68" t="s">
        <v>502</v>
      </c>
      <c r="B30" s="173" t="s">
        <v>503</v>
      </c>
      <c r="C30" s="173"/>
      <c r="D30" s="173"/>
      <c r="E30" s="173"/>
      <c r="F30" s="173"/>
    </row>
    <row r="31" spans="1:6" ht="23.25" customHeight="1" x14ac:dyDescent="0.3">
      <c r="A31" s="67" t="s">
        <v>504</v>
      </c>
      <c r="B31" s="174" t="s">
        <v>505</v>
      </c>
      <c r="C31" s="174"/>
      <c r="D31" s="174"/>
      <c r="E31" s="174"/>
      <c r="F31" s="174"/>
    </row>
    <row r="32" spans="1:6" ht="16.5" customHeight="1" x14ac:dyDescent="0.3">
      <c r="A32" s="68" t="s">
        <v>506</v>
      </c>
      <c r="B32" s="173" t="s">
        <v>507</v>
      </c>
      <c r="C32" s="173"/>
      <c r="D32" s="173"/>
      <c r="E32" s="173"/>
      <c r="F32" s="173"/>
    </row>
    <row r="33" spans="1:6" x14ac:dyDescent="0.3">
      <c r="A33" s="164"/>
      <c r="B33" s="164"/>
      <c r="C33" s="164"/>
      <c r="D33" s="164"/>
      <c r="E33" s="164"/>
      <c r="F33" s="164"/>
    </row>
    <row r="34" spans="1:6" ht="16.5" customHeight="1" x14ac:dyDescent="0.3">
      <c r="A34" s="165" t="s">
        <v>508</v>
      </c>
      <c r="B34" s="165"/>
      <c r="C34" s="165"/>
      <c r="D34" s="165"/>
      <c r="E34" s="165"/>
      <c r="F34" s="165"/>
    </row>
    <row r="35" spans="1:6" ht="20.399999999999999" x14ac:dyDescent="0.3">
      <c r="A35" s="68" t="s">
        <v>1</v>
      </c>
      <c r="B35" s="68" t="s">
        <v>509</v>
      </c>
      <c r="C35" s="68" t="s">
        <v>454</v>
      </c>
      <c r="D35" s="68" t="s">
        <v>282</v>
      </c>
      <c r="E35" s="68" t="s">
        <v>510</v>
      </c>
      <c r="F35" s="68" t="s">
        <v>511</v>
      </c>
    </row>
    <row r="36" spans="1:6" x14ac:dyDescent="0.3">
      <c r="A36" s="67">
        <v>1</v>
      </c>
      <c r="B36" s="67" t="s">
        <v>512</v>
      </c>
      <c r="C36" s="121">
        <f>AAII!F136</f>
        <v>5480.81</v>
      </c>
      <c r="D36" s="67">
        <f>AAII!C22</f>
        <v>1</v>
      </c>
      <c r="E36" s="121">
        <f>C36*D36</f>
        <v>5480.81</v>
      </c>
      <c r="F36" s="121">
        <f>TRUNC((E36*12),2)</f>
        <v>65769.72</v>
      </c>
    </row>
    <row r="37" spans="1:6" x14ac:dyDescent="0.3">
      <c r="A37" s="68">
        <v>2</v>
      </c>
      <c r="B37" s="68" t="s">
        <v>513</v>
      </c>
      <c r="C37" s="122">
        <f>SLCeCopeiragem!B140</f>
        <v>4177.4399999999996</v>
      </c>
      <c r="D37" s="68">
        <f>SLCeCopeiragem!C22</f>
        <v>1</v>
      </c>
      <c r="E37" s="122">
        <f>C37*D37</f>
        <v>4177.4399999999996</v>
      </c>
      <c r="F37" s="122">
        <f>TRUNC((E37*12),2)</f>
        <v>50129.279999999999</v>
      </c>
    </row>
    <row r="38" spans="1:6" ht="15" customHeight="1" x14ac:dyDescent="0.3">
      <c r="A38" s="166" t="s">
        <v>514</v>
      </c>
      <c r="B38" s="166"/>
      <c r="C38" s="123"/>
      <c r="D38" s="124">
        <f>SUM(D36:D37)</f>
        <v>2</v>
      </c>
      <c r="E38" s="123">
        <f>SUM(E36:E37)</f>
        <v>9658.25</v>
      </c>
      <c r="F38" s="121">
        <f>TRUNC((E38*12),2)</f>
        <v>115899</v>
      </c>
    </row>
    <row r="39" spans="1:6" x14ac:dyDescent="0.3">
      <c r="A39" s="164"/>
      <c r="B39" s="164"/>
      <c r="C39" s="164"/>
      <c r="D39" s="164"/>
      <c r="E39" s="164"/>
      <c r="F39" s="164"/>
    </row>
    <row r="40" spans="1:6" ht="16.5" customHeight="1" x14ac:dyDescent="0.3">
      <c r="A40" s="165" t="s">
        <v>515</v>
      </c>
      <c r="B40" s="165"/>
      <c r="C40" s="165"/>
      <c r="D40" s="165"/>
      <c r="E40" s="165"/>
      <c r="F40" s="165"/>
    </row>
    <row r="41" spans="1:6" ht="16.5" customHeight="1" x14ac:dyDescent="0.3">
      <c r="A41" s="125">
        <v>3</v>
      </c>
      <c r="B41" s="171" t="s">
        <v>516</v>
      </c>
      <c r="C41" s="171"/>
      <c r="D41" s="171"/>
      <c r="E41" s="125" t="s">
        <v>517</v>
      </c>
      <c r="F41" s="125" t="s">
        <v>68</v>
      </c>
    </row>
    <row r="42" spans="1:6" ht="16.5" customHeight="1" x14ac:dyDescent="0.3">
      <c r="A42" s="162" t="s">
        <v>518</v>
      </c>
      <c r="B42" s="162"/>
      <c r="C42" s="162"/>
      <c r="D42" s="162"/>
      <c r="E42" s="126">
        <v>0</v>
      </c>
      <c r="F42" s="126">
        <f>Gás!K3</f>
        <v>301.83999999999997</v>
      </c>
    </row>
    <row r="43" spans="1:6" ht="15.6" thickTop="1" thickBot="1" x14ac:dyDescent="0.35">
      <c r="A43" s="172"/>
      <c r="B43" s="172"/>
      <c r="C43" s="172"/>
      <c r="D43" s="172"/>
      <c r="E43" s="172"/>
      <c r="F43" s="172"/>
    </row>
    <row r="44" spans="1:6" ht="16.5" customHeight="1" thickTop="1" thickBot="1" x14ac:dyDescent="0.35">
      <c r="A44" s="168" t="s">
        <v>519</v>
      </c>
      <c r="B44" s="169"/>
      <c r="C44" s="169"/>
      <c r="D44" s="169"/>
      <c r="E44" s="169"/>
      <c r="F44" s="170"/>
    </row>
    <row r="45" spans="1:6" ht="16.5" customHeight="1" thickTop="1" thickBot="1" x14ac:dyDescent="0.35">
      <c r="A45" s="67">
        <v>4</v>
      </c>
      <c r="B45" s="166" t="s">
        <v>520</v>
      </c>
      <c r="C45" s="166"/>
      <c r="D45" s="166"/>
      <c r="E45" s="67" t="s">
        <v>517</v>
      </c>
      <c r="F45" s="67" t="s">
        <v>68</v>
      </c>
    </row>
    <row r="46" spans="1:6" ht="16.5" customHeight="1" thickTop="1" thickBot="1" x14ac:dyDescent="0.35">
      <c r="A46" s="162" t="s">
        <v>518</v>
      </c>
      <c r="B46" s="162"/>
      <c r="C46" s="162"/>
      <c r="D46" s="162"/>
      <c r="E46" s="126">
        <f>GA!J10</f>
        <v>295.75</v>
      </c>
      <c r="F46" s="126">
        <f>GA!K10</f>
        <v>3549</v>
      </c>
    </row>
    <row r="47" spans="1:6" ht="15.6" thickTop="1" thickBot="1" x14ac:dyDescent="0.35">
      <c r="A47" s="167"/>
      <c r="B47" s="167"/>
      <c r="C47" s="167"/>
      <c r="D47" s="167"/>
      <c r="E47" s="167"/>
      <c r="F47" s="167"/>
    </row>
    <row r="48" spans="1:6" ht="16.5" customHeight="1" thickTop="1" thickBot="1" x14ac:dyDescent="0.35">
      <c r="A48" s="168" t="s">
        <v>521</v>
      </c>
      <c r="B48" s="169"/>
      <c r="C48" s="169"/>
      <c r="D48" s="169"/>
      <c r="E48" s="169"/>
      <c r="F48" s="170"/>
    </row>
    <row r="49" spans="1:6" ht="16.5" customHeight="1" thickTop="1" thickBot="1" x14ac:dyDescent="0.35">
      <c r="A49" s="67">
        <v>5</v>
      </c>
      <c r="B49" s="166" t="s">
        <v>522</v>
      </c>
      <c r="C49" s="166"/>
      <c r="D49" s="166"/>
      <c r="E49" s="67" t="s">
        <v>517</v>
      </c>
      <c r="F49" s="67" t="s">
        <v>68</v>
      </c>
    </row>
    <row r="50" spans="1:6" ht="16.5" customHeight="1" thickTop="1" thickBot="1" x14ac:dyDescent="0.35">
      <c r="A50" s="162" t="s">
        <v>518</v>
      </c>
      <c r="B50" s="162"/>
      <c r="C50" s="162"/>
      <c r="D50" s="162"/>
      <c r="E50" s="126">
        <f>'MCC - Sob Demanda'!J67</f>
        <v>319.14</v>
      </c>
      <c r="F50" s="126">
        <f>'MCC - Sob Demanda'!J64</f>
        <v>3829.63</v>
      </c>
    </row>
    <row r="51" spans="1:6" ht="15.6" thickTop="1" thickBot="1" x14ac:dyDescent="0.35">
      <c r="A51" s="164"/>
      <c r="B51" s="164"/>
      <c r="C51" s="164"/>
      <c r="D51" s="164"/>
      <c r="E51" s="164"/>
      <c r="F51" s="164"/>
    </row>
    <row r="52" spans="1:6" s="127" customFormat="1" ht="13.5" customHeight="1" x14ac:dyDescent="0.25">
      <c r="A52" s="165" t="s">
        <v>523</v>
      </c>
      <c r="B52" s="165"/>
      <c r="C52" s="165"/>
      <c r="D52" s="165"/>
      <c r="E52" s="165"/>
      <c r="F52" s="165"/>
    </row>
    <row r="53" spans="1:6" s="127" customFormat="1" ht="16.5" customHeight="1" x14ac:dyDescent="0.25">
      <c r="A53" s="166" t="s">
        <v>524</v>
      </c>
      <c r="B53" s="166"/>
      <c r="C53" s="166" t="s">
        <v>517</v>
      </c>
      <c r="D53" s="166"/>
      <c r="E53" s="166" t="s">
        <v>68</v>
      </c>
      <c r="F53" s="166"/>
    </row>
    <row r="54" spans="1:6" s="127" customFormat="1" ht="13.5" customHeight="1" x14ac:dyDescent="0.25">
      <c r="A54" s="162" t="s">
        <v>525</v>
      </c>
      <c r="B54" s="162"/>
      <c r="C54" s="163">
        <f>TRUNC((E38+E42+E46+E50),2)</f>
        <v>10273.14</v>
      </c>
      <c r="D54" s="163"/>
      <c r="E54" s="163">
        <f>TRUNC((F38+F42+F46+F50),2)</f>
        <v>123579.47</v>
      </c>
      <c r="F54" s="163"/>
    </row>
    <row r="55" spans="1:6" x14ac:dyDescent="0.3">
      <c r="A55" s="66"/>
      <c r="B55" s="66"/>
      <c r="C55" s="66"/>
      <c r="D55" s="66"/>
      <c r="E55" s="66"/>
      <c r="F55" s="66"/>
    </row>
    <row r="56" spans="1:6" x14ac:dyDescent="0.3">
      <c r="A56" s="66"/>
      <c r="B56" s="66"/>
      <c r="C56" s="66"/>
      <c r="D56" s="66"/>
      <c r="E56" s="66"/>
      <c r="F56" s="66"/>
    </row>
  </sheetData>
  <mergeCells count="62">
    <mergeCell ref="A1:F1"/>
    <mergeCell ref="A2:F2"/>
    <mergeCell ref="A3:F3"/>
    <mergeCell ref="A4:F4"/>
    <mergeCell ref="A5:F5"/>
    <mergeCell ref="A6:F6"/>
    <mergeCell ref="A7:F7"/>
    <mergeCell ref="A8:F8"/>
    <mergeCell ref="A9:B9"/>
    <mergeCell ref="C9:F9"/>
    <mergeCell ref="A10:B10"/>
    <mergeCell ref="C10:F10"/>
    <mergeCell ref="A11:B11"/>
    <mergeCell ref="C11:F11"/>
    <mergeCell ref="A12:B12"/>
    <mergeCell ref="C12:D12"/>
    <mergeCell ref="E12:F12"/>
    <mergeCell ref="A13:B13"/>
    <mergeCell ref="A14:B14"/>
    <mergeCell ref="A15:F15"/>
    <mergeCell ref="A16:F16"/>
    <mergeCell ref="A17:B17"/>
    <mergeCell ref="C17:F17"/>
    <mergeCell ref="A18:B18"/>
    <mergeCell ref="E18:F18"/>
    <mergeCell ref="A19:F19"/>
    <mergeCell ref="A20:F20"/>
    <mergeCell ref="B21:F21"/>
    <mergeCell ref="B22:F22"/>
    <mergeCell ref="B23:F23"/>
    <mergeCell ref="B24:F24"/>
    <mergeCell ref="B25:F25"/>
    <mergeCell ref="B26:F26"/>
    <mergeCell ref="B27:F27"/>
    <mergeCell ref="B28:F28"/>
    <mergeCell ref="B29:F29"/>
    <mergeCell ref="B30:F30"/>
    <mergeCell ref="B31:F31"/>
    <mergeCell ref="B32:F32"/>
    <mergeCell ref="A33:F33"/>
    <mergeCell ref="A34:F34"/>
    <mergeCell ref="A38:B38"/>
    <mergeCell ref="A39:F39"/>
    <mergeCell ref="A40:F40"/>
    <mergeCell ref="B41:D41"/>
    <mergeCell ref="A42:D42"/>
    <mergeCell ref="A43:F43"/>
    <mergeCell ref="A44:F44"/>
    <mergeCell ref="B45:D45"/>
    <mergeCell ref="A46:D46"/>
    <mergeCell ref="A47:F47"/>
    <mergeCell ref="A48:F48"/>
    <mergeCell ref="B49:D49"/>
    <mergeCell ref="A54:B54"/>
    <mergeCell ref="C54:D54"/>
    <mergeCell ref="E54:F54"/>
    <mergeCell ref="A50:D50"/>
    <mergeCell ref="A51:F51"/>
    <mergeCell ref="A52:F52"/>
    <mergeCell ref="A53:B53"/>
    <mergeCell ref="C53:D53"/>
    <mergeCell ref="E53:F53"/>
  </mergeCells>
  <pageMargins left="0.51180555555555596" right="0.51180555555555596" top="0.78749999999999998" bottom="0.78749999999999998"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zoomScaleNormal="100" workbookViewId="0">
      <selection sqref="A1:C1"/>
    </sheetView>
  </sheetViews>
  <sheetFormatPr defaultColWidth="8.6640625" defaultRowHeight="14.4" x14ac:dyDescent="0.3"/>
  <cols>
    <col min="2" max="2" width="45" customWidth="1"/>
    <col min="3" max="3" width="112.88671875" customWidth="1"/>
  </cols>
  <sheetData>
    <row r="1" spans="1:3" x14ac:dyDescent="0.3">
      <c r="A1" s="178" t="s">
        <v>0</v>
      </c>
      <c r="B1" s="178"/>
      <c r="C1" s="178"/>
    </row>
    <row r="2" spans="1:3" x14ac:dyDescent="0.3">
      <c r="A2" s="3" t="s">
        <v>1</v>
      </c>
      <c r="B2" s="8" t="s">
        <v>2</v>
      </c>
      <c r="C2" s="2" t="s">
        <v>3</v>
      </c>
    </row>
    <row r="3" spans="1:3" x14ac:dyDescent="0.3">
      <c r="A3" s="3">
        <f>ROW()-2</f>
        <v>1</v>
      </c>
      <c r="B3" s="8" t="s">
        <v>4</v>
      </c>
      <c r="C3" s="2" t="s">
        <v>5</v>
      </c>
    </row>
    <row r="4" spans="1:3" x14ac:dyDescent="0.3">
      <c r="A4" s="3">
        <v>2</v>
      </c>
      <c r="B4" s="8" t="s">
        <v>6</v>
      </c>
      <c r="C4" s="2" t="s">
        <v>7</v>
      </c>
    </row>
    <row r="5" spans="1:3" x14ac:dyDescent="0.3">
      <c r="A5" s="3">
        <v>3</v>
      </c>
      <c r="B5" s="9" t="s">
        <v>8</v>
      </c>
      <c r="C5" s="10" t="s">
        <v>9</v>
      </c>
    </row>
    <row r="6" spans="1:3" x14ac:dyDescent="0.3">
      <c r="A6" s="3">
        <v>4</v>
      </c>
      <c r="B6" s="8" t="s">
        <v>10</v>
      </c>
      <c r="C6" s="2" t="s">
        <v>11</v>
      </c>
    </row>
    <row r="7" spans="1:3" x14ac:dyDescent="0.3">
      <c r="A7" s="3">
        <v>5</v>
      </c>
      <c r="B7" s="8" t="s">
        <v>12</v>
      </c>
      <c r="C7" s="2" t="s">
        <v>13</v>
      </c>
    </row>
    <row r="8" spans="1:3" x14ac:dyDescent="0.3">
      <c r="A8" s="3">
        <v>6</v>
      </c>
      <c r="B8" s="8" t="s">
        <v>14</v>
      </c>
      <c r="C8" s="2" t="s">
        <v>15</v>
      </c>
    </row>
    <row r="9" spans="1:3" x14ac:dyDescent="0.3">
      <c r="A9" s="3">
        <v>7</v>
      </c>
      <c r="B9" s="8" t="s">
        <v>16</v>
      </c>
      <c r="C9" s="2" t="s">
        <v>17</v>
      </c>
    </row>
    <row r="10" spans="1:3" x14ac:dyDescent="0.3">
      <c r="A10" s="3">
        <v>8</v>
      </c>
      <c r="B10" s="8" t="s">
        <v>18</v>
      </c>
      <c r="C10" s="2" t="s">
        <v>19</v>
      </c>
    </row>
    <row r="11" spans="1:3" x14ac:dyDescent="0.3">
      <c r="A11" s="3">
        <v>9</v>
      </c>
      <c r="B11" s="8" t="s">
        <v>20</v>
      </c>
      <c r="C11" s="2" t="s">
        <v>21</v>
      </c>
    </row>
    <row r="12" spans="1:3" x14ac:dyDescent="0.3">
      <c r="A12" s="3">
        <v>10</v>
      </c>
      <c r="B12" s="8" t="s">
        <v>22</v>
      </c>
      <c r="C12" s="2" t="s">
        <v>23</v>
      </c>
    </row>
    <row r="13" spans="1:3" x14ac:dyDescent="0.3">
      <c r="A13" s="3">
        <v>11</v>
      </c>
      <c r="B13" s="8" t="s">
        <v>24</v>
      </c>
      <c r="C13" s="2" t="s">
        <v>25</v>
      </c>
    </row>
    <row r="14" spans="1:3" x14ac:dyDescent="0.3">
      <c r="A14" s="3">
        <v>12</v>
      </c>
      <c r="B14" s="8" t="s">
        <v>26</v>
      </c>
      <c r="C14" s="2" t="s">
        <v>27</v>
      </c>
    </row>
  </sheetData>
  <mergeCells count="1">
    <mergeCell ref="A1:C1"/>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zoomScaleNormal="100" workbookViewId="0">
      <selection sqref="A1:B1"/>
    </sheetView>
  </sheetViews>
  <sheetFormatPr defaultColWidth="8.6640625" defaultRowHeight="14.4" x14ac:dyDescent="0.3"/>
  <cols>
    <col min="2" max="2" width="46.109375" customWidth="1"/>
  </cols>
  <sheetData>
    <row r="1" spans="1:2" x14ac:dyDescent="0.3">
      <c r="A1" s="178" t="s">
        <v>28</v>
      </c>
      <c r="B1" s="178"/>
    </row>
    <row r="2" spans="1:2" x14ac:dyDescent="0.3">
      <c r="A2" s="3">
        <f>ROW()-1</f>
        <v>1</v>
      </c>
      <c r="B2" s="11" t="s">
        <v>25</v>
      </c>
    </row>
    <row r="3" spans="1:2" x14ac:dyDescent="0.3">
      <c r="A3" s="3">
        <f>ROW()-1</f>
        <v>2</v>
      </c>
      <c r="B3" s="11" t="s">
        <v>29</v>
      </c>
    </row>
    <row r="4" spans="1:2" x14ac:dyDescent="0.3">
      <c r="B4" s="12"/>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zoomScaleNormal="100" workbookViewId="0">
      <selection activeCell="I10" sqref="I10"/>
    </sheetView>
  </sheetViews>
  <sheetFormatPr defaultColWidth="8.6640625" defaultRowHeight="14.4" x14ac:dyDescent="0.3"/>
  <cols>
    <col min="1" max="1" width="29.109375" customWidth="1"/>
    <col min="2" max="2" width="23.33203125" customWidth="1"/>
    <col min="3" max="3" width="27.109375" customWidth="1"/>
    <col min="4" max="4" width="31.5546875" customWidth="1"/>
  </cols>
  <sheetData>
    <row r="1" spans="1:4" ht="16.5" customHeight="1" x14ac:dyDescent="0.3">
      <c r="A1" s="181" t="s">
        <v>30</v>
      </c>
      <c r="B1" s="181"/>
      <c r="C1" s="181"/>
      <c r="D1" s="181"/>
    </row>
    <row r="2" spans="1:4" ht="33" customHeight="1" x14ac:dyDescent="0.3">
      <c r="A2" s="164" t="s">
        <v>31</v>
      </c>
      <c r="B2" s="164"/>
      <c r="C2" s="7" t="s">
        <v>25</v>
      </c>
      <c r="D2" s="7" t="s">
        <v>27</v>
      </c>
    </row>
    <row r="3" spans="1:4" ht="16.5" customHeight="1" x14ac:dyDescent="0.3">
      <c r="A3" s="13" t="s">
        <v>32</v>
      </c>
      <c r="B3" s="13" t="s">
        <v>33</v>
      </c>
      <c r="C3" s="14">
        <f>TRUNC((2371.327),2)</f>
        <v>2371.3200000000002</v>
      </c>
      <c r="D3" s="14">
        <f>TRUNC((1586.86),2)</f>
        <v>1586.86</v>
      </c>
    </row>
    <row r="4" spans="1:4" x14ac:dyDescent="0.3">
      <c r="A4" s="7" t="s">
        <v>32</v>
      </c>
      <c r="B4" s="7" t="s">
        <v>34</v>
      </c>
      <c r="C4" s="14"/>
      <c r="D4" s="14"/>
    </row>
    <row r="5" spans="1:4" x14ac:dyDescent="0.3">
      <c r="A5" s="7" t="s">
        <v>32</v>
      </c>
      <c r="B5" s="7" t="s">
        <v>35</v>
      </c>
      <c r="C5" s="14"/>
      <c r="D5" s="14"/>
    </row>
    <row r="6" spans="1:4" x14ac:dyDescent="0.3">
      <c r="A6" s="7" t="s">
        <v>32</v>
      </c>
      <c r="B6" s="7" t="s">
        <v>36</v>
      </c>
      <c r="C6" s="14"/>
      <c r="D6" s="14"/>
    </row>
    <row r="7" spans="1:4" x14ac:dyDescent="0.3">
      <c r="A7" s="7" t="s">
        <v>32</v>
      </c>
      <c r="B7" s="7" t="s">
        <v>37</v>
      </c>
      <c r="C7" s="14"/>
      <c r="D7" s="14"/>
    </row>
    <row r="8" spans="1:4" x14ac:dyDescent="0.3">
      <c r="A8" s="7" t="s">
        <v>32</v>
      </c>
      <c r="B8" s="7" t="s">
        <v>38</v>
      </c>
      <c r="C8" s="14"/>
      <c r="D8" s="14"/>
    </row>
    <row r="9" spans="1:4" x14ac:dyDescent="0.3">
      <c r="A9" s="7" t="s">
        <v>32</v>
      </c>
      <c r="B9" s="7" t="s">
        <v>39</v>
      </c>
      <c r="C9" s="14"/>
      <c r="D9" s="14"/>
    </row>
    <row r="10" spans="1:4" x14ac:dyDescent="0.3">
      <c r="A10" s="7" t="s">
        <v>32</v>
      </c>
      <c r="B10" s="7" t="s">
        <v>40</v>
      </c>
      <c r="C10" s="14"/>
      <c r="D10" s="14"/>
    </row>
    <row r="11" spans="1:4" x14ac:dyDescent="0.3">
      <c r="A11" s="7" t="s">
        <v>32</v>
      </c>
      <c r="B11" s="7" t="s">
        <v>41</v>
      </c>
      <c r="C11" s="14"/>
      <c r="D11" s="14"/>
    </row>
    <row r="12" spans="1:4" x14ac:dyDescent="0.3">
      <c r="A12" s="7" t="s">
        <v>32</v>
      </c>
      <c r="B12" s="7" t="s">
        <v>42</v>
      </c>
      <c r="C12" s="14"/>
      <c r="D12" s="14"/>
    </row>
    <row r="13" spans="1:4" x14ac:dyDescent="0.3">
      <c r="A13" s="15"/>
      <c r="B13" s="15"/>
      <c r="C13" s="15"/>
      <c r="D13" s="15"/>
    </row>
    <row r="14" spans="1:4" x14ac:dyDescent="0.3">
      <c r="A14" s="15"/>
      <c r="B14" s="15"/>
      <c r="C14" s="15"/>
      <c r="D14" s="15"/>
    </row>
    <row r="15" spans="1:4" x14ac:dyDescent="0.3">
      <c r="A15" s="15"/>
      <c r="B15" s="15"/>
      <c r="C15" s="15"/>
      <c r="D15" s="15"/>
    </row>
    <row r="16" spans="1:4" x14ac:dyDescent="0.3">
      <c r="A16" s="15"/>
      <c r="B16" s="15"/>
      <c r="C16" s="15"/>
      <c r="D16" s="15"/>
    </row>
    <row r="17" spans="1:4" x14ac:dyDescent="0.3">
      <c r="A17" s="15"/>
      <c r="B17" s="15"/>
      <c r="C17" s="15"/>
      <c r="D17" s="15"/>
    </row>
    <row r="18" spans="1:4" x14ac:dyDescent="0.3">
      <c r="A18" s="15"/>
      <c r="B18" s="16" t="s">
        <v>43</v>
      </c>
      <c r="C18" s="16" t="s">
        <v>44</v>
      </c>
      <c r="D18" s="16" t="s">
        <v>45</v>
      </c>
    </row>
    <row r="19" spans="1:4" x14ac:dyDescent="0.3">
      <c r="A19" s="15"/>
      <c r="B19" s="13" t="s">
        <v>46</v>
      </c>
      <c r="C19" s="130">
        <f>TRUNC((26.7),2)</f>
        <v>26.7</v>
      </c>
      <c r="D19" s="130">
        <f>TRUNC((4),2)</f>
        <v>4</v>
      </c>
    </row>
    <row r="20" spans="1:4" x14ac:dyDescent="0.3">
      <c r="A20" s="15"/>
      <c r="B20" s="6" t="s">
        <v>47</v>
      </c>
      <c r="C20" s="14"/>
      <c r="D20" s="14"/>
    </row>
    <row r="21" spans="1:4" x14ac:dyDescent="0.3">
      <c r="A21" s="15"/>
      <c r="B21" s="6" t="s">
        <v>47</v>
      </c>
      <c r="C21" s="14"/>
      <c r="D21" s="14"/>
    </row>
    <row r="22" spans="1:4" x14ac:dyDescent="0.3">
      <c r="A22" s="15"/>
      <c r="B22" s="6" t="s">
        <v>47</v>
      </c>
      <c r="C22" s="14"/>
      <c r="D22" s="14"/>
    </row>
    <row r="23" spans="1:4" x14ac:dyDescent="0.3">
      <c r="A23" s="15"/>
      <c r="B23" s="6" t="s">
        <v>47</v>
      </c>
      <c r="C23" s="14"/>
      <c r="D23" s="14"/>
    </row>
    <row r="24" spans="1:4" x14ac:dyDescent="0.3">
      <c r="A24" s="15"/>
      <c r="B24" s="6" t="s">
        <v>47</v>
      </c>
      <c r="C24" s="14"/>
      <c r="D24" s="14"/>
    </row>
    <row r="25" spans="1:4" x14ac:dyDescent="0.3">
      <c r="A25" s="15"/>
      <c r="B25" s="6" t="s">
        <v>47</v>
      </c>
      <c r="C25" s="14"/>
      <c r="D25" s="14"/>
    </row>
    <row r="26" spans="1:4" x14ac:dyDescent="0.3">
      <c r="A26" s="15"/>
      <c r="B26" s="6" t="s">
        <v>47</v>
      </c>
      <c r="C26" s="14"/>
      <c r="D26" s="14"/>
    </row>
    <row r="27" spans="1:4" x14ac:dyDescent="0.3">
      <c r="A27" s="15"/>
      <c r="B27" s="6" t="s">
        <v>47</v>
      </c>
      <c r="C27" s="14"/>
      <c r="D27" s="14"/>
    </row>
    <row r="28" spans="1:4" x14ac:dyDescent="0.3">
      <c r="A28" s="15"/>
      <c r="B28" s="6" t="s">
        <v>47</v>
      </c>
      <c r="C28" s="14"/>
      <c r="D28" s="14"/>
    </row>
    <row r="29" spans="1:4" x14ac:dyDescent="0.3">
      <c r="A29" s="15"/>
      <c r="B29" s="6" t="s">
        <v>47</v>
      </c>
      <c r="C29" s="14"/>
      <c r="D29" s="14"/>
    </row>
    <row r="30" spans="1:4" x14ac:dyDescent="0.3">
      <c r="A30" s="15"/>
      <c r="B30" s="6" t="s">
        <v>47</v>
      </c>
      <c r="C30" s="14"/>
      <c r="D30" s="14"/>
    </row>
    <row r="31" spans="1:4" x14ac:dyDescent="0.3">
      <c r="A31" s="15"/>
      <c r="B31" s="15"/>
      <c r="C31" s="15"/>
      <c r="D31" s="15"/>
    </row>
    <row r="32" spans="1:4" x14ac:dyDescent="0.3">
      <c r="A32" s="15"/>
      <c r="B32" s="15"/>
      <c r="C32" s="15"/>
      <c r="D32" s="15"/>
    </row>
    <row r="33" spans="1:4" x14ac:dyDescent="0.3">
      <c r="A33" s="15"/>
      <c r="B33" s="15"/>
      <c r="C33" s="15"/>
      <c r="D33" s="15"/>
    </row>
    <row r="34" spans="1:4" x14ac:dyDescent="0.3">
      <c r="A34" s="15"/>
      <c r="B34" s="15"/>
      <c r="C34" s="16" t="s">
        <v>48</v>
      </c>
      <c r="D34" s="15"/>
    </row>
    <row r="35" spans="1:4" x14ac:dyDescent="0.3">
      <c r="A35" s="15"/>
      <c r="B35" s="15"/>
      <c r="C35" s="13" t="s">
        <v>49</v>
      </c>
      <c r="D35" s="15"/>
    </row>
    <row r="36" spans="1:4" x14ac:dyDescent="0.3">
      <c r="A36" s="15"/>
      <c r="B36" s="15"/>
      <c r="C36" s="13">
        <v>21</v>
      </c>
      <c r="D36" s="15"/>
    </row>
    <row r="45" spans="1:4" ht="16.5" customHeight="1" x14ac:dyDescent="0.3">
      <c r="B45" s="180" t="s">
        <v>50</v>
      </c>
      <c r="C45" s="180"/>
      <c r="D45" s="180"/>
    </row>
    <row r="46" spans="1:4" ht="16.5" customHeight="1" x14ac:dyDescent="0.3">
      <c r="B46" s="179" t="s">
        <v>51</v>
      </c>
      <c r="C46" s="179"/>
      <c r="D46" s="156">
        <v>4.7300000000000002E-2</v>
      </c>
    </row>
    <row r="47" spans="1:4" ht="16.5" customHeight="1" x14ac:dyDescent="0.3">
      <c r="B47" s="179" t="s">
        <v>52</v>
      </c>
      <c r="C47" s="179"/>
      <c r="D47" s="156">
        <v>5.57E-2</v>
      </c>
    </row>
    <row r="48" spans="1:4" ht="16.5" customHeight="1" x14ac:dyDescent="0.3">
      <c r="B48" s="179" t="s">
        <v>53</v>
      </c>
      <c r="C48" s="179"/>
      <c r="D48" s="18">
        <f>SUM(D46:D47)</f>
        <v>0.10300000000000001</v>
      </c>
    </row>
    <row r="49" spans="2:4" x14ac:dyDescent="0.3">
      <c r="B49" s="19"/>
      <c r="C49" s="19"/>
    </row>
    <row r="50" spans="2:4" x14ac:dyDescent="0.3">
      <c r="B50" s="19"/>
      <c r="C50" s="19"/>
      <c r="D50" s="20"/>
    </row>
    <row r="51" spans="2:4" x14ac:dyDescent="0.3">
      <c r="C51" s="21"/>
      <c r="D51" s="21"/>
    </row>
    <row r="52" spans="2:4" ht="16.5" customHeight="1" x14ac:dyDescent="0.3">
      <c r="B52" s="180" t="s">
        <v>54</v>
      </c>
      <c r="C52" s="180"/>
      <c r="D52" s="180"/>
    </row>
    <row r="53" spans="2:4" ht="16.5" customHeight="1" x14ac:dyDescent="0.3">
      <c r="B53" s="179" t="s">
        <v>55</v>
      </c>
      <c r="C53" s="179"/>
      <c r="D53" s="17">
        <v>6.4999999999999997E-3</v>
      </c>
    </row>
    <row r="54" spans="2:4" ht="16.5" customHeight="1" x14ac:dyDescent="0.3">
      <c r="B54" s="179" t="s">
        <v>56</v>
      </c>
      <c r="C54" s="179"/>
      <c r="D54" s="17">
        <v>0.03</v>
      </c>
    </row>
    <row r="55" spans="2:4" ht="16.5" customHeight="1" x14ac:dyDescent="0.3">
      <c r="B55" s="179" t="s">
        <v>57</v>
      </c>
      <c r="C55" s="179"/>
      <c r="D55" s="17">
        <v>0.05</v>
      </c>
    </row>
    <row r="56" spans="2:4" ht="16.5" customHeight="1" x14ac:dyDescent="0.3">
      <c r="B56" s="179" t="s">
        <v>53</v>
      </c>
      <c r="C56" s="179"/>
      <c r="D56" s="18">
        <f>SUM(D53:D55)</f>
        <v>8.6499999999999994E-2</v>
      </c>
    </row>
  </sheetData>
  <mergeCells count="11">
    <mergeCell ref="A1:D1"/>
    <mergeCell ref="A2:B2"/>
    <mergeCell ref="B45:D45"/>
    <mergeCell ref="B46:C46"/>
    <mergeCell ref="B47:C47"/>
    <mergeCell ref="B56:C56"/>
    <mergeCell ref="B48:C48"/>
    <mergeCell ref="B52:D52"/>
    <mergeCell ref="B53:C53"/>
    <mergeCell ref="B54:C54"/>
    <mergeCell ref="B55:C5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
  <sheetViews>
    <sheetView topLeftCell="C1" zoomScale="80" zoomScaleNormal="80" workbookViewId="0">
      <selection activeCell="F7" sqref="F7"/>
    </sheetView>
  </sheetViews>
  <sheetFormatPr defaultColWidth="8.6640625" defaultRowHeight="14.4" x14ac:dyDescent="0.3"/>
  <cols>
    <col min="2" max="2" width="38.5546875" customWidth="1"/>
    <col min="3" max="3" width="20.109375" customWidth="1"/>
    <col min="4" max="4" width="21.44140625" customWidth="1"/>
    <col min="5" max="5" width="20.109375" customWidth="1"/>
    <col min="6" max="6" width="29" customWidth="1"/>
    <col min="7" max="8" width="19.5546875" customWidth="1"/>
    <col min="9" max="9" width="24.88671875" customWidth="1"/>
    <col min="10" max="10" width="16.109375" customWidth="1"/>
    <col min="11" max="11" width="17.5546875" customWidth="1"/>
  </cols>
  <sheetData>
    <row r="1" spans="1:11" x14ac:dyDescent="0.3">
      <c r="A1" s="178" t="s">
        <v>58</v>
      </c>
      <c r="B1" s="178"/>
      <c r="C1" s="178"/>
      <c r="D1" s="178"/>
      <c r="E1" s="178"/>
      <c r="F1" s="178"/>
      <c r="G1" s="178"/>
      <c r="H1" s="178"/>
      <c r="I1" s="178"/>
      <c r="J1" s="178"/>
      <c r="K1" s="178"/>
    </row>
    <row r="2" spans="1:11" s="23" customFormat="1" ht="30" customHeight="1" x14ac:dyDescent="0.3">
      <c r="A2" s="13" t="s">
        <v>1</v>
      </c>
      <c r="B2" s="22" t="s">
        <v>59</v>
      </c>
      <c r="C2" s="13" t="s">
        <v>60</v>
      </c>
      <c r="D2" s="13" t="s">
        <v>61</v>
      </c>
      <c r="E2" s="13" t="s">
        <v>62</v>
      </c>
      <c r="F2" s="13" t="s">
        <v>63</v>
      </c>
      <c r="G2" s="13" t="s">
        <v>64</v>
      </c>
      <c r="H2" s="13" t="s">
        <v>65</v>
      </c>
      <c r="I2" s="13" t="s">
        <v>66</v>
      </c>
      <c r="J2" s="13" t="s">
        <v>67</v>
      </c>
      <c r="K2" s="13" t="s">
        <v>68</v>
      </c>
    </row>
    <row r="3" spans="1:11" s="23" customFormat="1" ht="19.5" customHeight="1" x14ac:dyDescent="0.3">
      <c r="A3" s="13">
        <v>1</v>
      </c>
      <c r="B3" s="22" t="s">
        <v>69</v>
      </c>
      <c r="C3" s="13" t="s">
        <v>70</v>
      </c>
      <c r="D3" s="24"/>
      <c r="E3" s="13">
        <v>2</v>
      </c>
      <c r="F3" s="130">
        <v>125</v>
      </c>
      <c r="G3" s="14">
        <f>TRUNC((F3*'Salários.VA.VT.QteDias.LDI.T'!D48),2)</f>
        <v>12.87</v>
      </c>
      <c r="H3" s="14">
        <f>TRUNC((((F3+G3)/(1-'Salários.VA.VT.QteDias.LDI.T'!D56))*'Salários.VA.VT.QteDias.LDI.T'!D56),2)</f>
        <v>13.05</v>
      </c>
      <c r="I3" s="14">
        <f>TRUNC((F3+G3+H3),2)</f>
        <v>150.91999999999999</v>
      </c>
      <c r="J3" s="13">
        <f>D3*F3</f>
        <v>0</v>
      </c>
      <c r="K3" s="14">
        <f>TRUNC((E3*I3),2)</f>
        <v>301.83999999999997</v>
      </c>
    </row>
    <row r="4" spans="1:11" x14ac:dyDescent="0.3">
      <c r="A4" s="25"/>
      <c r="B4" s="25"/>
      <c r="C4" s="25"/>
      <c r="D4" s="25"/>
      <c r="E4" s="25"/>
      <c r="F4" s="25"/>
      <c r="G4" s="25"/>
      <c r="H4" s="25"/>
      <c r="I4" s="25"/>
      <c r="J4" s="25"/>
      <c r="K4" s="25"/>
    </row>
    <row r="5" spans="1:11" x14ac:dyDescent="0.3">
      <c r="A5" s="25"/>
      <c r="B5" s="25"/>
      <c r="C5" s="25"/>
      <c r="D5" s="25"/>
      <c r="E5" s="25"/>
      <c r="F5" s="25"/>
      <c r="G5" s="25"/>
      <c r="H5" s="25"/>
      <c r="I5" s="25"/>
      <c r="J5" s="25"/>
      <c r="K5" s="25"/>
    </row>
    <row r="6" spans="1:11" x14ac:dyDescent="0.3">
      <c r="A6" s="25"/>
      <c r="B6" s="25"/>
      <c r="C6" s="25"/>
      <c r="D6" s="25"/>
      <c r="E6" s="25"/>
      <c r="F6" s="25"/>
      <c r="G6" s="25"/>
      <c r="H6" s="25"/>
      <c r="I6" s="25"/>
      <c r="J6" s="25"/>
      <c r="K6" s="25"/>
    </row>
    <row r="7" spans="1:11" x14ac:dyDescent="0.3">
      <c r="A7" s="25"/>
      <c r="B7" s="25"/>
      <c r="C7" s="25"/>
      <c r="D7" s="25"/>
      <c r="E7" s="25"/>
      <c r="F7" s="25"/>
      <c r="G7" s="25"/>
      <c r="H7" s="25"/>
      <c r="I7" s="25"/>
      <c r="J7" s="25"/>
      <c r="K7" s="25"/>
    </row>
    <row r="8" spans="1:11" x14ac:dyDescent="0.3">
      <c r="A8" s="25"/>
      <c r="B8" s="25"/>
      <c r="C8" s="25"/>
      <c r="D8" s="25"/>
      <c r="E8" s="25"/>
      <c r="F8" s="25"/>
      <c r="G8" s="25"/>
      <c r="H8" s="25"/>
      <c r="I8" s="25"/>
      <c r="J8" s="25"/>
      <c r="K8" s="25"/>
    </row>
    <row r="9" spans="1:11" x14ac:dyDescent="0.3">
      <c r="A9" s="26"/>
      <c r="B9" s="26"/>
      <c r="C9" s="26"/>
      <c r="D9" s="26"/>
      <c r="E9" s="26"/>
      <c r="F9" s="26"/>
      <c r="G9" s="26"/>
      <c r="H9" s="26"/>
      <c r="I9" s="26"/>
      <c r="J9" s="26"/>
      <c r="K9" s="26"/>
    </row>
    <row r="10" spans="1:11" x14ac:dyDescent="0.3">
      <c r="A10" s="26"/>
      <c r="B10" s="26"/>
      <c r="C10" s="26"/>
      <c r="D10" s="26"/>
      <c r="E10" s="26"/>
      <c r="F10" s="26"/>
      <c r="G10" s="26"/>
      <c r="H10" s="26"/>
      <c r="I10" s="26"/>
      <c r="J10" s="26"/>
      <c r="K10" s="26"/>
    </row>
  </sheetData>
  <sheetProtection sheet="1" objects="1" scenarios="1"/>
  <protectedRanges>
    <protectedRange sqref="F3" name="Intervalo1"/>
  </protectedRanges>
  <mergeCells count="1">
    <mergeCell ref="A1:K1"/>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5"/>
  <sheetViews>
    <sheetView zoomScale="90" zoomScaleNormal="90" workbookViewId="0">
      <selection activeCell="D3" sqref="D3"/>
    </sheetView>
  </sheetViews>
  <sheetFormatPr defaultColWidth="8.6640625" defaultRowHeight="14.4" x14ac:dyDescent="0.3"/>
  <cols>
    <col min="2" max="2" width="36.6640625" customWidth="1"/>
    <col min="3" max="8" width="18.5546875" customWidth="1"/>
    <col min="9" max="9" width="18.33203125" customWidth="1"/>
    <col min="10" max="11" width="18.6640625" customWidth="1"/>
  </cols>
  <sheetData>
    <row r="1" spans="1:11" s="27" customFormat="1" ht="19.5" customHeight="1" x14ac:dyDescent="0.3">
      <c r="A1" s="182" t="s">
        <v>71</v>
      </c>
      <c r="B1" s="182"/>
      <c r="C1" s="182"/>
      <c r="D1" s="182"/>
      <c r="E1" s="182"/>
      <c r="F1" s="182"/>
      <c r="G1" s="182"/>
      <c r="H1" s="182"/>
      <c r="I1" s="182"/>
      <c r="J1" s="182"/>
      <c r="K1" s="182"/>
    </row>
    <row r="2" spans="1:11" s="27" customFormat="1" ht="30" customHeight="1" x14ac:dyDescent="0.3">
      <c r="A2" s="7" t="s">
        <v>1</v>
      </c>
      <c r="B2" s="28" t="s">
        <v>59</v>
      </c>
      <c r="C2" s="7" t="s">
        <v>72</v>
      </c>
      <c r="D2" s="13" t="s">
        <v>63</v>
      </c>
      <c r="E2" s="13" t="s">
        <v>64</v>
      </c>
      <c r="F2" s="13" t="s">
        <v>65</v>
      </c>
      <c r="G2" s="13" t="s">
        <v>66</v>
      </c>
      <c r="H2" s="7" t="s">
        <v>61</v>
      </c>
      <c r="I2" s="7" t="s">
        <v>62</v>
      </c>
      <c r="J2" s="7" t="s">
        <v>73</v>
      </c>
      <c r="K2" s="7" t="s">
        <v>74</v>
      </c>
    </row>
    <row r="3" spans="1:11" s="27" customFormat="1" ht="19.5" customHeight="1" x14ac:dyDescent="0.3">
      <c r="A3" s="29">
        <v>1</v>
      </c>
      <c r="B3" s="30" t="s">
        <v>75</v>
      </c>
      <c r="C3" s="29" t="s">
        <v>76</v>
      </c>
      <c r="D3" s="129">
        <v>5.83</v>
      </c>
      <c r="E3" s="31">
        <f>TRUNC((D3*'Salários.VA.VT.QteDias.LDI.T'!$D$48),2)</f>
        <v>0.6</v>
      </c>
      <c r="F3" s="31">
        <f>TRUNC((((D3+E3)/(1-'Salários.VA.VT.QteDias.LDI.T'!$D$56))*'Salários.VA.VT.QteDias.LDI.T'!$D$56),2)</f>
        <v>0.6</v>
      </c>
      <c r="G3" s="31">
        <f t="shared" ref="G3:G8" si="0">TRUNC((D3+E3+F3),2)</f>
        <v>7.03</v>
      </c>
      <c r="H3" s="29">
        <v>5</v>
      </c>
      <c r="I3" s="29">
        <f>H3*12</f>
        <v>60</v>
      </c>
      <c r="J3" s="31">
        <f t="shared" ref="J3:J8" si="1">TRUNC((G3*H3),2)</f>
        <v>35.15</v>
      </c>
      <c r="K3" s="31">
        <f t="shared" ref="K3:K8" si="2">TRUNC((J3*12),2)</f>
        <v>421.8</v>
      </c>
    </row>
    <row r="4" spans="1:11" s="27" customFormat="1" ht="19.5" customHeight="1" x14ac:dyDescent="0.3">
      <c r="A4" s="29">
        <v>2</v>
      </c>
      <c r="B4" s="30" t="s">
        <v>77</v>
      </c>
      <c r="C4" s="29" t="s">
        <v>78</v>
      </c>
      <c r="D4" s="129">
        <v>8.7200000000000006</v>
      </c>
      <c r="E4" s="31">
        <f>TRUNC((D4*'Salários.VA.VT.QteDias.LDI.T'!$D$48),2)</f>
        <v>0.89</v>
      </c>
      <c r="F4" s="31">
        <f>TRUNC((((D4+E4)/(1-'Salários.VA.VT.QteDias.LDI.T'!$D$56))*'Salários.VA.VT.QteDias.LDI.T'!$D$56),2)</f>
        <v>0.9</v>
      </c>
      <c r="G4" s="31">
        <f t="shared" si="0"/>
        <v>10.51</v>
      </c>
      <c r="H4" s="29">
        <v>0</v>
      </c>
      <c r="I4" s="29">
        <v>2</v>
      </c>
      <c r="J4" s="31">
        <f t="shared" si="1"/>
        <v>0</v>
      </c>
      <c r="K4" s="31">
        <f t="shared" si="2"/>
        <v>0</v>
      </c>
    </row>
    <row r="5" spans="1:11" s="27" customFormat="1" ht="19.5" customHeight="1" x14ac:dyDescent="0.3">
      <c r="A5" s="29">
        <v>3</v>
      </c>
      <c r="B5" s="30" t="s">
        <v>79</v>
      </c>
      <c r="C5" s="29" t="s">
        <v>80</v>
      </c>
      <c r="D5" s="129">
        <v>18.760000000000002</v>
      </c>
      <c r="E5" s="31">
        <f>TRUNC((D5*'Salários.VA.VT.QteDias.LDI.T'!$D$48),2)</f>
        <v>1.93</v>
      </c>
      <c r="F5" s="31">
        <f>TRUNC((((D5+E5)/(1-'Salários.VA.VT.QteDias.LDI.T'!$D$56))*'Salários.VA.VT.QteDias.LDI.T'!$D$56),2)</f>
        <v>1.95</v>
      </c>
      <c r="G5" s="31">
        <f t="shared" si="0"/>
        <v>22.64</v>
      </c>
      <c r="H5" s="29">
        <v>4</v>
      </c>
      <c r="I5" s="29">
        <f>H5*12</f>
        <v>48</v>
      </c>
      <c r="J5" s="31">
        <f t="shared" si="1"/>
        <v>90.56</v>
      </c>
      <c r="K5" s="31">
        <f t="shared" si="2"/>
        <v>1086.72</v>
      </c>
    </row>
    <row r="6" spans="1:11" s="27" customFormat="1" ht="19.5" customHeight="1" x14ac:dyDescent="0.3">
      <c r="A6" s="29">
        <v>4</v>
      </c>
      <c r="B6" s="30" t="s">
        <v>81</v>
      </c>
      <c r="C6" s="29" t="s">
        <v>82</v>
      </c>
      <c r="D6" s="129">
        <v>12</v>
      </c>
      <c r="E6" s="31">
        <f>TRUNC((D6*'Salários.VA.VT.QteDias.LDI.T'!$D$48),2)</f>
        <v>1.23</v>
      </c>
      <c r="F6" s="31">
        <f>TRUNC((((D6+E6)/(1-'Salários.VA.VT.QteDias.LDI.T'!$D$56))*'Salários.VA.VT.QteDias.LDI.T'!$D$56),2)</f>
        <v>1.25</v>
      </c>
      <c r="G6" s="31">
        <f t="shared" si="0"/>
        <v>14.48</v>
      </c>
      <c r="H6" s="29">
        <v>3</v>
      </c>
      <c r="I6" s="29">
        <f>H6*12</f>
        <v>36</v>
      </c>
      <c r="J6" s="31">
        <f t="shared" si="1"/>
        <v>43.44</v>
      </c>
      <c r="K6" s="31">
        <f t="shared" si="2"/>
        <v>521.28</v>
      </c>
    </row>
    <row r="7" spans="1:11" s="27" customFormat="1" ht="19.5" customHeight="1" x14ac:dyDescent="0.3">
      <c r="A7" s="29">
        <v>5</v>
      </c>
      <c r="B7" s="30" t="s">
        <v>83</v>
      </c>
      <c r="C7" s="29" t="s">
        <v>84</v>
      </c>
      <c r="D7" s="129">
        <v>6.19</v>
      </c>
      <c r="E7" s="31">
        <f>TRUNC((D7*'Salários.VA.VT.QteDias.LDI.T'!$D$48),2)</f>
        <v>0.63</v>
      </c>
      <c r="F7" s="31">
        <f>TRUNC((((D7+E7)/(1-'Salários.VA.VT.QteDias.LDI.T'!$D$56))*'Salários.VA.VT.QteDias.LDI.T'!$D$56),2)</f>
        <v>0.64</v>
      </c>
      <c r="G7" s="31">
        <f t="shared" si="0"/>
        <v>7.46</v>
      </c>
      <c r="H7" s="29">
        <v>0</v>
      </c>
      <c r="I7" s="29">
        <f>H7*12</f>
        <v>0</v>
      </c>
      <c r="J7" s="31">
        <f t="shared" si="1"/>
        <v>0</v>
      </c>
      <c r="K7" s="31">
        <f t="shared" si="2"/>
        <v>0</v>
      </c>
    </row>
    <row r="8" spans="1:11" s="27" customFormat="1" ht="19.5" customHeight="1" x14ac:dyDescent="0.3">
      <c r="A8" s="29">
        <v>6</v>
      </c>
      <c r="B8" s="30" t="s">
        <v>85</v>
      </c>
      <c r="C8" s="29" t="s">
        <v>86</v>
      </c>
      <c r="D8" s="129">
        <v>10.49</v>
      </c>
      <c r="E8" s="31">
        <f>TRUNC((D8*'Salários.VA.VT.QteDias.LDI.T'!$D$48),2)</f>
        <v>1.08</v>
      </c>
      <c r="F8" s="31">
        <f>TRUNC((((D8+E8)/(1-'Salários.VA.VT.QteDias.LDI.T'!$D$56))*'Salários.VA.VT.QteDias.LDI.T'!$D$56),2)</f>
        <v>1.0900000000000001</v>
      </c>
      <c r="G8" s="31">
        <f t="shared" si="0"/>
        <v>12.66</v>
      </c>
      <c r="H8" s="29">
        <v>10</v>
      </c>
      <c r="I8" s="29">
        <f>H8*12</f>
        <v>120</v>
      </c>
      <c r="J8" s="31">
        <f t="shared" si="1"/>
        <v>126.6</v>
      </c>
      <c r="K8" s="31">
        <f t="shared" si="2"/>
        <v>1519.2</v>
      </c>
    </row>
    <row r="9" spans="1:11" s="27" customFormat="1" ht="19.5" customHeight="1" x14ac:dyDescent="0.3">
      <c r="A9" s="29">
        <v>7</v>
      </c>
      <c r="B9" s="32"/>
      <c r="C9" s="29"/>
      <c r="D9" s="31"/>
      <c r="E9" s="31"/>
      <c r="F9" s="31"/>
      <c r="G9" s="31"/>
      <c r="H9" s="29"/>
      <c r="I9" s="29"/>
      <c r="J9" s="31"/>
      <c r="K9" s="31"/>
    </row>
    <row r="10" spans="1:11" s="27" customFormat="1" ht="19.5" customHeight="1" x14ac:dyDescent="0.3">
      <c r="A10" s="29">
        <v>8</v>
      </c>
      <c r="B10" s="33" t="s">
        <v>87</v>
      </c>
      <c r="C10" s="34"/>
      <c r="D10" s="34"/>
      <c r="E10" s="34"/>
      <c r="F10" s="34"/>
      <c r="G10" s="34"/>
      <c r="H10" s="34"/>
      <c r="I10" s="32"/>
      <c r="J10" s="128">
        <f>SUM(J3:J9)</f>
        <v>295.75</v>
      </c>
      <c r="K10" s="128">
        <f>TRUNC(SUM(K3:K9),2)</f>
        <v>3549</v>
      </c>
    </row>
    <row r="11" spans="1:11" s="27" customFormat="1" ht="19.5" customHeight="1" x14ac:dyDescent="0.3">
      <c r="A11" s="35"/>
      <c r="B11" s="35"/>
      <c r="C11" s="35"/>
      <c r="D11" s="35"/>
      <c r="E11" s="35"/>
      <c r="F11" s="35"/>
      <c r="G11" s="35"/>
      <c r="H11" s="35"/>
      <c r="I11" s="35"/>
      <c r="J11" s="35"/>
      <c r="K11" s="35"/>
    </row>
    <row r="12" spans="1:11" s="27" customFormat="1" ht="19.5" customHeight="1" x14ac:dyDescent="0.3">
      <c r="A12" s="35"/>
      <c r="B12" s="35"/>
      <c r="C12" s="35"/>
      <c r="D12" s="35"/>
      <c r="E12" s="35"/>
      <c r="F12" s="35"/>
      <c r="G12" s="35"/>
      <c r="H12" s="35"/>
      <c r="I12" s="35"/>
      <c r="J12" s="35"/>
      <c r="K12" s="35"/>
    </row>
    <row r="13" spans="1:11" s="27" customFormat="1" ht="19.5" customHeight="1" x14ac:dyDescent="0.3">
      <c r="A13" s="35"/>
      <c r="B13" s="35"/>
      <c r="C13" s="35"/>
      <c r="D13" s="35"/>
      <c r="E13" s="35"/>
      <c r="F13" s="35"/>
      <c r="G13" s="35"/>
      <c r="H13" s="35"/>
      <c r="I13" s="35"/>
      <c r="J13" s="35"/>
      <c r="K13" s="35"/>
    </row>
    <row r="14" spans="1:11" x14ac:dyDescent="0.3">
      <c r="A14" s="26"/>
      <c r="B14" s="26"/>
      <c r="C14" s="26"/>
      <c r="D14" s="26"/>
      <c r="E14" s="26"/>
      <c r="F14" s="26"/>
      <c r="G14" s="26"/>
      <c r="H14" s="26"/>
      <c r="I14" s="26"/>
      <c r="J14" s="26"/>
      <c r="K14" s="26"/>
    </row>
    <row r="15" spans="1:11" x14ac:dyDescent="0.3">
      <c r="A15" s="26"/>
      <c r="B15" s="26"/>
      <c r="C15" s="26"/>
      <c r="D15" s="26"/>
      <c r="E15" s="26"/>
      <c r="F15" s="26"/>
      <c r="G15" s="26"/>
      <c r="H15" s="26"/>
      <c r="I15" s="26"/>
      <c r="J15" s="26"/>
      <c r="K15" s="26"/>
    </row>
  </sheetData>
  <sheetProtection sheet="1" objects="1" scenarios="1"/>
  <protectedRanges>
    <protectedRange sqref="D3:D8" name="Intervalo1"/>
  </protectedRanges>
  <mergeCells count="1">
    <mergeCell ref="A1:K1"/>
  </mergeCells>
  <pageMargins left="0.7" right="0.7" top="0.75" bottom="0.7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1"/>
  <sheetViews>
    <sheetView zoomScale="110" zoomScaleNormal="110" workbookViewId="0">
      <selection activeCell="D12" sqref="D12"/>
    </sheetView>
  </sheetViews>
  <sheetFormatPr defaultColWidth="8.6640625" defaultRowHeight="14.4" x14ac:dyDescent="0.3"/>
  <cols>
    <col min="1" max="1" width="9.109375" style="26" customWidth="1"/>
    <col min="2" max="2" width="41" style="26" customWidth="1"/>
    <col min="3" max="3" width="52" style="26" customWidth="1"/>
    <col min="4" max="4" width="17.109375" style="26" customWidth="1"/>
    <col min="5" max="5" width="19.33203125" style="26" customWidth="1"/>
    <col min="6" max="6" width="20.109375" style="26" customWidth="1"/>
    <col min="7" max="7" width="21.109375" style="26" customWidth="1"/>
  </cols>
  <sheetData>
    <row r="1" spans="1:7" ht="19.5" customHeight="1" x14ac:dyDescent="0.3">
      <c r="A1" s="178" t="s">
        <v>88</v>
      </c>
      <c r="B1" s="178"/>
      <c r="C1" s="178"/>
      <c r="D1" s="178"/>
      <c r="E1" s="178"/>
      <c r="F1" s="178"/>
      <c r="G1" s="178"/>
    </row>
    <row r="2" spans="1:7" ht="19.5" customHeight="1" x14ac:dyDescent="0.3">
      <c r="A2" s="36" t="s">
        <v>1</v>
      </c>
      <c r="B2" s="36" t="s">
        <v>89</v>
      </c>
      <c r="C2" s="36" t="s">
        <v>72</v>
      </c>
      <c r="D2" s="36" t="s">
        <v>90</v>
      </c>
      <c r="E2" s="36" t="s">
        <v>62</v>
      </c>
      <c r="F2" s="36" t="s">
        <v>91</v>
      </c>
      <c r="G2" s="36" t="s">
        <v>74</v>
      </c>
    </row>
    <row r="3" spans="1:7" ht="19.5" customHeight="1" x14ac:dyDescent="0.3">
      <c r="A3" s="3">
        <f t="shared" ref="A3:A17" si="0">ROW()-2</f>
        <v>1</v>
      </c>
      <c r="B3" s="37" t="s">
        <v>92</v>
      </c>
      <c r="C3" s="7" t="s">
        <v>93</v>
      </c>
      <c r="D3" s="131">
        <v>7.58</v>
      </c>
      <c r="E3" s="7">
        <v>12</v>
      </c>
      <c r="F3" s="7"/>
      <c r="G3" s="38">
        <f t="shared" ref="G3:G14" si="1">D3*E3</f>
        <v>90.960000000000008</v>
      </c>
    </row>
    <row r="4" spans="1:7" ht="19.5" customHeight="1" x14ac:dyDescent="0.3">
      <c r="A4" s="3">
        <f t="shared" si="0"/>
        <v>2</v>
      </c>
      <c r="B4" s="37" t="s">
        <v>94</v>
      </c>
      <c r="C4" s="7" t="s">
        <v>93</v>
      </c>
      <c r="D4" s="131">
        <v>2.0499999999999998</v>
      </c>
      <c r="E4" s="7">
        <v>12</v>
      </c>
      <c r="F4" s="7"/>
      <c r="G4" s="38">
        <f t="shared" si="1"/>
        <v>24.599999999999998</v>
      </c>
    </row>
    <row r="5" spans="1:7" ht="19.5" customHeight="1" x14ac:dyDescent="0.3">
      <c r="A5" s="3">
        <f t="shared" si="0"/>
        <v>3</v>
      </c>
      <c r="B5" s="37" t="s">
        <v>95</v>
      </c>
      <c r="C5" s="7" t="s">
        <v>96</v>
      </c>
      <c r="D5" s="131">
        <v>1.66</v>
      </c>
      <c r="E5" s="7">
        <v>12</v>
      </c>
      <c r="F5" s="7"/>
      <c r="G5" s="38">
        <f t="shared" si="1"/>
        <v>19.919999999999998</v>
      </c>
    </row>
    <row r="6" spans="1:7" ht="19.5" customHeight="1" x14ac:dyDescent="0.3">
      <c r="A6" s="3">
        <f t="shared" si="0"/>
        <v>4</v>
      </c>
      <c r="B6" s="37" t="s">
        <v>97</v>
      </c>
      <c r="C6" s="7" t="s">
        <v>93</v>
      </c>
      <c r="D6" s="131">
        <v>4.04</v>
      </c>
      <c r="E6" s="39">
        <v>6</v>
      </c>
      <c r="F6" s="7"/>
      <c r="G6" s="38">
        <f t="shared" si="1"/>
        <v>24.240000000000002</v>
      </c>
    </row>
    <row r="7" spans="1:7" ht="19.5" customHeight="1" x14ac:dyDescent="0.3">
      <c r="A7" s="3">
        <f t="shared" si="0"/>
        <v>5</v>
      </c>
      <c r="B7" s="37" t="s">
        <v>98</v>
      </c>
      <c r="C7" s="7" t="s">
        <v>99</v>
      </c>
      <c r="D7" s="131">
        <v>3.36</v>
      </c>
      <c r="E7" s="7">
        <v>3</v>
      </c>
      <c r="F7" s="7"/>
      <c r="G7" s="38">
        <f t="shared" si="1"/>
        <v>10.08</v>
      </c>
    </row>
    <row r="8" spans="1:7" ht="19.5" customHeight="1" x14ac:dyDescent="0.3">
      <c r="A8" s="3">
        <f t="shared" si="0"/>
        <v>6</v>
      </c>
      <c r="B8" s="37" t="s">
        <v>100</v>
      </c>
      <c r="C8" s="7" t="s">
        <v>96</v>
      </c>
      <c r="D8" s="131">
        <v>4.4000000000000004</v>
      </c>
      <c r="E8" s="7">
        <v>4</v>
      </c>
      <c r="F8" s="7"/>
      <c r="G8" s="38">
        <f t="shared" si="1"/>
        <v>17.600000000000001</v>
      </c>
    </row>
    <row r="9" spans="1:7" ht="19.5" customHeight="1" x14ac:dyDescent="0.3">
      <c r="A9" s="3">
        <f t="shared" si="0"/>
        <v>7</v>
      </c>
      <c r="B9" s="37" t="s">
        <v>101</v>
      </c>
      <c r="C9" s="7" t="s">
        <v>96</v>
      </c>
      <c r="D9" s="131">
        <v>2.7</v>
      </c>
      <c r="E9" s="40">
        <v>4</v>
      </c>
      <c r="F9" s="7"/>
      <c r="G9" s="38">
        <f t="shared" si="1"/>
        <v>10.8</v>
      </c>
    </row>
    <row r="10" spans="1:7" ht="19.5" customHeight="1" x14ac:dyDescent="0.3">
      <c r="A10" s="3">
        <f t="shared" si="0"/>
        <v>8</v>
      </c>
      <c r="B10" s="37" t="s">
        <v>102</v>
      </c>
      <c r="C10" s="7" t="s">
        <v>103</v>
      </c>
      <c r="D10" s="131">
        <v>3.14</v>
      </c>
      <c r="E10" s="7">
        <v>12</v>
      </c>
      <c r="F10" s="7"/>
      <c r="G10" s="38">
        <f t="shared" si="1"/>
        <v>37.68</v>
      </c>
    </row>
    <row r="11" spans="1:7" ht="19.5" customHeight="1" x14ac:dyDescent="0.3">
      <c r="A11" s="3">
        <f t="shared" si="0"/>
        <v>9</v>
      </c>
      <c r="B11" s="37" t="s">
        <v>104</v>
      </c>
      <c r="C11" s="7" t="s">
        <v>103</v>
      </c>
      <c r="D11" s="131">
        <v>3.77</v>
      </c>
      <c r="E11" s="41">
        <v>12</v>
      </c>
      <c r="F11" s="7"/>
      <c r="G11" s="38">
        <f t="shared" si="1"/>
        <v>45.24</v>
      </c>
    </row>
    <row r="12" spans="1:7" ht="19.5" customHeight="1" x14ac:dyDescent="0.3">
      <c r="A12" s="3">
        <f t="shared" si="0"/>
        <v>10</v>
      </c>
      <c r="B12" s="37" t="s">
        <v>105</v>
      </c>
      <c r="C12" s="7" t="s">
        <v>106</v>
      </c>
      <c r="D12" s="131">
        <v>4.0599999999999996</v>
      </c>
      <c r="E12" s="7">
        <v>10</v>
      </c>
      <c r="F12" s="7"/>
      <c r="G12" s="38">
        <f t="shared" si="1"/>
        <v>40.599999999999994</v>
      </c>
    </row>
    <row r="13" spans="1:7" ht="19.5" customHeight="1" x14ac:dyDescent="0.3">
      <c r="A13" s="3">
        <f t="shared" si="0"/>
        <v>11</v>
      </c>
      <c r="B13" s="37" t="s">
        <v>107</v>
      </c>
      <c r="C13" s="7" t="s">
        <v>108</v>
      </c>
      <c r="D13" s="131">
        <v>20.190000000000001</v>
      </c>
      <c r="E13" s="7">
        <v>3</v>
      </c>
      <c r="F13" s="7"/>
      <c r="G13" s="38">
        <f t="shared" si="1"/>
        <v>60.570000000000007</v>
      </c>
    </row>
    <row r="14" spans="1:7" ht="19.5" customHeight="1" x14ac:dyDescent="0.3">
      <c r="A14" s="3">
        <f t="shared" si="0"/>
        <v>12</v>
      </c>
      <c r="B14" s="37" t="s">
        <v>109</v>
      </c>
      <c r="C14" s="7" t="s">
        <v>110</v>
      </c>
      <c r="D14" s="131">
        <v>3.59</v>
      </c>
      <c r="E14" s="7">
        <v>4</v>
      </c>
      <c r="F14" s="7"/>
      <c r="G14" s="38">
        <f t="shared" si="1"/>
        <v>14.36</v>
      </c>
    </row>
    <row r="15" spans="1:7" ht="19.5" customHeight="1" x14ac:dyDescent="0.3">
      <c r="A15" s="3">
        <f t="shared" si="0"/>
        <v>13</v>
      </c>
      <c r="B15" s="37"/>
      <c r="C15" s="7"/>
      <c r="D15" s="7"/>
      <c r="E15" s="7"/>
      <c r="F15" s="7"/>
      <c r="G15" s="38"/>
    </row>
    <row r="16" spans="1:7" ht="19.5" customHeight="1" x14ac:dyDescent="0.3">
      <c r="A16" s="3">
        <f t="shared" si="0"/>
        <v>14</v>
      </c>
      <c r="B16" s="37"/>
      <c r="C16" s="7"/>
      <c r="D16" s="7"/>
      <c r="E16" s="7"/>
      <c r="F16" s="7"/>
      <c r="G16" s="38"/>
    </row>
    <row r="17" spans="1:7" ht="19.5" customHeight="1" x14ac:dyDescent="0.3">
      <c r="A17" s="3">
        <f t="shared" si="0"/>
        <v>15</v>
      </c>
      <c r="B17" s="37"/>
      <c r="C17" s="7"/>
      <c r="D17" s="38">
        <f>TRUNC(SUM(D3:D15),2)</f>
        <v>60.54</v>
      </c>
      <c r="E17" s="38"/>
      <c r="F17" s="38"/>
      <c r="G17" s="14">
        <f>TRUNC(SUM(G3:G15),2)</f>
        <v>396.65</v>
      </c>
    </row>
    <row r="18" spans="1:7" ht="19.5" customHeight="1" x14ac:dyDescent="0.3">
      <c r="A18" s="42"/>
      <c r="B18" s="42"/>
      <c r="C18" s="42"/>
      <c r="D18" s="42"/>
      <c r="E18" s="42"/>
      <c r="F18" s="42"/>
      <c r="G18" s="42"/>
    </row>
    <row r="19" spans="1:7" ht="19.5" customHeight="1" x14ac:dyDescent="0.3">
      <c r="A19" s="42"/>
      <c r="B19" s="42"/>
      <c r="C19" s="42"/>
      <c r="D19" s="42"/>
      <c r="E19" s="164" t="s">
        <v>111</v>
      </c>
      <c r="F19" s="164"/>
      <c r="G19" s="14">
        <f>TRUNC((G17/12),2)</f>
        <v>33.049999999999997</v>
      </c>
    </row>
    <row r="20" spans="1:7" ht="19.5" customHeight="1" x14ac:dyDescent="0.3">
      <c r="A20" s="43"/>
      <c r="B20" s="43"/>
      <c r="C20" s="43"/>
      <c r="D20" s="43"/>
      <c r="E20" s="43"/>
      <c r="F20" s="43"/>
      <c r="G20" s="43"/>
    </row>
    <row r="21" spans="1:7" x14ac:dyDescent="0.3">
      <c r="A21" s="43"/>
      <c r="B21" s="43"/>
      <c r="C21" s="43"/>
      <c r="D21" s="43"/>
      <c r="E21" s="43"/>
      <c r="F21" s="43"/>
      <c r="G21" s="43"/>
    </row>
  </sheetData>
  <sheetProtection sheet="1" objects="1" scenarios="1"/>
  <protectedRanges>
    <protectedRange sqref="D3:D14" name="Intervalo1"/>
  </protectedRanges>
  <mergeCells count="2">
    <mergeCell ref="A1:G1"/>
    <mergeCell ref="E19:F19"/>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5"/>
  <sheetViews>
    <sheetView zoomScaleNormal="100" workbookViewId="0">
      <selection activeCell="J67" activeCellId="1" sqref="J64 J67"/>
    </sheetView>
  </sheetViews>
  <sheetFormatPr defaultColWidth="8.6640625" defaultRowHeight="14.4" x14ac:dyDescent="0.3"/>
  <cols>
    <col min="2" max="2" width="63.88671875" customWidth="1"/>
    <col min="3" max="3" width="17.109375" customWidth="1"/>
    <col min="4" max="4" width="25.33203125" customWidth="1"/>
    <col min="5" max="6" width="17.109375" customWidth="1"/>
    <col min="7" max="7" width="23.88671875" customWidth="1"/>
    <col min="8" max="8" width="19.33203125" customWidth="1"/>
    <col min="9" max="9" width="20.5546875" customWidth="1"/>
    <col min="10" max="10" width="30.33203125" customWidth="1"/>
  </cols>
  <sheetData>
    <row r="1" spans="1:10" x14ac:dyDescent="0.3">
      <c r="A1" s="178" t="s">
        <v>88</v>
      </c>
      <c r="B1" s="178"/>
      <c r="C1" s="178"/>
      <c r="D1" s="178"/>
      <c r="E1" s="178"/>
      <c r="F1" s="178"/>
      <c r="G1" s="178"/>
      <c r="H1" s="178"/>
      <c r="I1" s="178"/>
      <c r="J1" s="178"/>
    </row>
    <row r="2" spans="1:10" s="23" customFormat="1" ht="30" customHeight="1" x14ac:dyDescent="0.3">
      <c r="A2" s="36" t="s">
        <v>1</v>
      </c>
      <c r="B2" s="36" t="s">
        <v>89</v>
      </c>
      <c r="C2" s="36" t="s">
        <v>72</v>
      </c>
      <c r="D2" s="13" t="s">
        <v>63</v>
      </c>
      <c r="E2" s="13" t="s">
        <v>64</v>
      </c>
      <c r="F2" s="13" t="s">
        <v>65</v>
      </c>
      <c r="G2" s="13" t="s">
        <v>66</v>
      </c>
      <c r="H2" s="36" t="s">
        <v>112</v>
      </c>
      <c r="I2" s="36" t="s">
        <v>62</v>
      </c>
      <c r="J2" s="36" t="s">
        <v>113</v>
      </c>
    </row>
    <row r="3" spans="1:10" s="23" customFormat="1" ht="19.5" customHeight="1" x14ac:dyDescent="0.3">
      <c r="A3" s="3">
        <f t="shared" ref="A3:A34" si="0">ROW() - ROW($A$2)</f>
        <v>1</v>
      </c>
      <c r="B3" s="37" t="s">
        <v>114</v>
      </c>
      <c r="C3" s="7" t="s">
        <v>96</v>
      </c>
      <c r="D3" s="132">
        <v>33.979999999999997</v>
      </c>
      <c r="E3" s="38">
        <f>ROUND((D3*'Salários.VA.VT.QteDias.LDI.T'!$D$48),2)</f>
        <v>3.5</v>
      </c>
      <c r="F3" s="38">
        <f>ROUND((((D3+E3)/(1-'Salários.VA.VT.QteDias.LDI.T'!$D$56))*'Salários.VA.VT.QteDias.LDI.T'!$D$56),2)</f>
        <v>3.55</v>
      </c>
      <c r="G3" s="38">
        <f t="shared" ref="G3:G34" si="1">ROUND((D3+E3+F3),2)</f>
        <v>41.03</v>
      </c>
      <c r="H3" s="7" t="s">
        <v>115</v>
      </c>
      <c r="I3" s="7"/>
      <c r="J3" s="38">
        <f t="shared" ref="J3:J34" si="2">ROUND((G3*I3),2)</f>
        <v>0</v>
      </c>
    </row>
    <row r="4" spans="1:10" s="23" customFormat="1" ht="19.5" customHeight="1" x14ac:dyDescent="0.3">
      <c r="A4" s="3">
        <f t="shared" si="0"/>
        <v>2</v>
      </c>
      <c r="B4" s="37" t="s">
        <v>116</v>
      </c>
      <c r="C4" s="7" t="s">
        <v>96</v>
      </c>
      <c r="D4" s="132">
        <v>9.58</v>
      </c>
      <c r="E4" s="38">
        <f>ROUND((D4*'Salários.VA.VT.QteDias.LDI.T'!$D$48),2)</f>
        <v>0.99</v>
      </c>
      <c r="F4" s="38">
        <f>ROUND((((D4+E4)/(1-'Salários.VA.VT.QteDias.LDI.T'!$D$56))*'Salários.VA.VT.QteDias.LDI.T'!$D$56),2)</f>
        <v>1</v>
      </c>
      <c r="G4" s="38">
        <f t="shared" si="1"/>
        <v>11.57</v>
      </c>
      <c r="H4" s="7" t="s">
        <v>115</v>
      </c>
      <c r="I4" s="7"/>
      <c r="J4" s="38">
        <f t="shared" si="2"/>
        <v>0</v>
      </c>
    </row>
    <row r="5" spans="1:10" s="23" customFormat="1" ht="19.5" customHeight="1" x14ac:dyDescent="0.3">
      <c r="A5" s="3">
        <f t="shared" si="0"/>
        <v>3</v>
      </c>
      <c r="B5" s="37" t="s">
        <v>117</v>
      </c>
      <c r="C5" s="7" t="s">
        <v>96</v>
      </c>
      <c r="D5" s="132">
        <v>58.29</v>
      </c>
      <c r="E5" s="38">
        <f>ROUND((D5*'Salários.VA.VT.QteDias.LDI.T'!$D$48),2)</f>
        <v>6</v>
      </c>
      <c r="F5" s="38">
        <f>ROUND((((D5+E5)/(1-'Salários.VA.VT.QteDias.LDI.T'!$D$56))*'Salários.VA.VT.QteDias.LDI.T'!$D$56),2)</f>
        <v>6.09</v>
      </c>
      <c r="G5" s="38">
        <f t="shared" si="1"/>
        <v>70.38</v>
      </c>
      <c r="H5" s="7"/>
      <c r="I5" s="7">
        <v>2</v>
      </c>
      <c r="J5" s="38">
        <f t="shared" si="2"/>
        <v>140.76</v>
      </c>
    </row>
    <row r="6" spans="1:10" s="23" customFormat="1" ht="19.5" customHeight="1" x14ac:dyDescent="0.3">
      <c r="A6" s="3">
        <f t="shared" si="0"/>
        <v>4</v>
      </c>
      <c r="B6" s="37" t="s">
        <v>118</v>
      </c>
      <c r="C6" s="7" t="s">
        <v>96</v>
      </c>
      <c r="D6" s="132">
        <v>53.28</v>
      </c>
      <c r="E6" s="38">
        <f>ROUND((D6*'Salários.VA.VT.QteDias.LDI.T'!$D$48),2)</f>
        <v>5.49</v>
      </c>
      <c r="F6" s="38">
        <f>ROUND((((D6+E6)/(1-'Salários.VA.VT.QteDias.LDI.T'!$D$56))*'Salários.VA.VT.QteDias.LDI.T'!$D$56),2)</f>
        <v>5.56</v>
      </c>
      <c r="G6" s="38">
        <f t="shared" si="1"/>
        <v>64.33</v>
      </c>
      <c r="H6" s="7" t="s">
        <v>115</v>
      </c>
      <c r="I6" s="7"/>
      <c r="J6" s="38">
        <f t="shared" si="2"/>
        <v>0</v>
      </c>
    </row>
    <row r="7" spans="1:10" s="23" customFormat="1" ht="19.5" customHeight="1" x14ac:dyDescent="0.3">
      <c r="A7" s="3">
        <f t="shared" si="0"/>
        <v>5</v>
      </c>
      <c r="B7" s="37" t="s">
        <v>119</v>
      </c>
      <c r="C7" s="7" t="s">
        <v>96</v>
      </c>
      <c r="D7" s="132">
        <v>14.53</v>
      </c>
      <c r="E7" s="38">
        <f>ROUND((D7*'Salários.VA.VT.QteDias.LDI.T'!$D$48),2)</f>
        <v>1.5</v>
      </c>
      <c r="F7" s="38">
        <f>ROUND((((D7+E7)/(1-'Salários.VA.VT.QteDias.LDI.T'!$D$56))*'Salários.VA.VT.QteDias.LDI.T'!$D$56),2)</f>
        <v>1.52</v>
      </c>
      <c r="G7" s="38">
        <f t="shared" si="1"/>
        <v>17.55</v>
      </c>
      <c r="H7" s="7" t="s">
        <v>115</v>
      </c>
      <c r="I7" s="7"/>
      <c r="J7" s="38">
        <f t="shared" si="2"/>
        <v>0</v>
      </c>
    </row>
    <row r="8" spans="1:10" s="23" customFormat="1" ht="19.5" customHeight="1" x14ac:dyDescent="0.3">
      <c r="A8" s="3">
        <f t="shared" si="0"/>
        <v>6</v>
      </c>
      <c r="B8" s="37" t="s">
        <v>120</v>
      </c>
      <c r="C8" s="7" t="s">
        <v>96</v>
      </c>
      <c r="D8" s="132">
        <v>17.7</v>
      </c>
      <c r="E8" s="38">
        <f>ROUND((D8*'Salários.VA.VT.QteDias.LDI.T'!$D$48),2)</f>
        <v>1.82</v>
      </c>
      <c r="F8" s="38">
        <f>ROUND((((D8+E8)/(1-'Salários.VA.VT.QteDias.LDI.T'!$D$56))*'Salários.VA.VT.QteDias.LDI.T'!$D$56),2)</f>
        <v>1.85</v>
      </c>
      <c r="G8" s="38">
        <f t="shared" si="1"/>
        <v>21.37</v>
      </c>
      <c r="H8" s="40"/>
      <c r="I8" s="7">
        <v>2</v>
      </c>
      <c r="J8" s="38">
        <f t="shared" si="2"/>
        <v>42.74</v>
      </c>
    </row>
    <row r="9" spans="1:10" s="23" customFormat="1" ht="19.5" customHeight="1" x14ac:dyDescent="0.3">
      <c r="A9" s="3">
        <f t="shared" si="0"/>
        <v>7</v>
      </c>
      <c r="B9" s="37" t="s">
        <v>121</v>
      </c>
      <c r="C9" s="7" t="s">
        <v>96</v>
      </c>
      <c r="D9" s="132">
        <v>16.93</v>
      </c>
      <c r="E9" s="38">
        <f>ROUND((D9*'Salários.VA.VT.QteDias.LDI.T'!$D$48),2)</f>
        <v>1.74</v>
      </c>
      <c r="F9" s="38">
        <f>ROUND((((D9+E9)/(1-'Salários.VA.VT.QteDias.LDI.T'!$D$56))*'Salários.VA.VT.QteDias.LDI.T'!$D$56),2)</f>
        <v>1.77</v>
      </c>
      <c r="G9" s="38">
        <f t="shared" si="1"/>
        <v>20.440000000000001</v>
      </c>
      <c r="H9" s="7" t="s">
        <v>115</v>
      </c>
      <c r="I9" s="28"/>
      <c r="J9" s="38">
        <f t="shared" si="2"/>
        <v>0</v>
      </c>
    </row>
    <row r="10" spans="1:10" s="23" customFormat="1" ht="19.5" customHeight="1" x14ac:dyDescent="0.3">
      <c r="A10" s="3">
        <f t="shared" si="0"/>
        <v>8</v>
      </c>
      <c r="B10" s="37" t="s">
        <v>122</v>
      </c>
      <c r="C10" s="7" t="s">
        <v>96</v>
      </c>
      <c r="D10" s="132">
        <v>9.17</v>
      </c>
      <c r="E10" s="38">
        <f>ROUND((D10*'Salários.VA.VT.QteDias.LDI.T'!$D$48),2)</f>
        <v>0.94</v>
      </c>
      <c r="F10" s="38">
        <f>ROUND((((D10+E10)/(1-'Salários.VA.VT.QteDias.LDI.T'!$D$56))*'Salários.VA.VT.QteDias.LDI.T'!$D$56),2)</f>
        <v>0.96</v>
      </c>
      <c r="G10" s="38">
        <f t="shared" si="1"/>
        <v>11.07</v>
      </c>
      <c r="H10" s="41" t="s">
        <v>115</v>
      </c>
      <c r="I10" s="7"/>
      <c r="J10" s="38">
        <f t="shared" si="2"/>
        <v>0</v>
      </c>
    </row>
    <row r="11" spans="1:10" s="23" customFormat="1" ht="19.5" customHeight="1" x14ac:dyDescent="0.3">
      <c r="A11" s="3">
        <f t="shared" si="0"/>
        <v>9</v>
      </c>
      <c r="B11" s="37" t="s">
        <v>123</v>
      </c>
      <c r="C11" s="7" t="s">
        <v>96</v>
      </c>
      <c r="D11" s="132">
        <v>9.49</v>
      </c>
      <c r="E11" s="38">
        <f>ROUND((D11*'Salários.VA.VT.QteDias.LDI.T'!$D$48),2)</f>
        <v>0.98</v>
      </c>
      <c r="F11" s="38">
        <f>ROUND((((D11+E11)/(1-'Salários.VA.VT.QteDias.LDI.T'!$D$56))*'Salários.VA.VT.QteDias.LDI.T'!$D$56),2)</f>
        <v>0.99</v>
      </c>
      <c r="G11" s="38">
        <f t="shared" si="1"/>
        <v>11.46</v>
      </c>
      <c r="H11" s="7" t="s">
        <v>115</v>
      </c>
      <c r="I11" s="7"/>
      <c r="J11" s="38">
        <f t="shared" si="2"/>
        <v>0</v>
      </c>
    </row>
    <row r="12" spans="1:10" s="23" customFormat="1" ht="19.5" customHeight="1" x14ac:dyDescent="0.3">
      <c r="A12" s="3">
        <f t="shared" si="0"/>
        <v>10</v>
      </c>
      <c r="B12" s="37" t="s">
        <v>124</v>
      </c>
      <c r="C12" s="7" t="s">
        <v>96</v>
      </c>
      <c r="D12" s="132">
        <v>3.32</v>
      </c>
      <c r="E12" s="38">
        <f>ROUND((D12*'Salários.VA.VT.QteDias.LDI.T'!$D$48),2)</f>
        <v>0.34</v>
      </c>
      <c r="F12" s="38">
        <f>ROUND((((D12+E12)/(1-'Salários.VA.VT.QteDias.LDI.T'!$D$56))*'Salários.VA.VT.QteDias.LDI.T'!$D$56),2)</f>
        <v>0.35</v>
      </c>
      <c r="G12" s="38">
        <f t="shared" si="1"/>
        <v>4.01</v>
      </c>
      <c r="H12" s="7" t="s">
        <v>115</v>
      </c>
      <c r="I12" s="7"/>
      <c r="J12" s="38">
        <f t="shared" si="2"/>
        <v>0</v>
      </c>
    </row>
    <row r="13" spans="1:10" s="23" customFormat="1" ht="19.5" customHeight="1" x14ac:dyDescent="0.3">
      <c r="A13" s="3">
        <f t="shared" si="0"/>
        <v>11</v>
      </c>
      <c r="B13" s="37" t="s">
        <v>125</v>
      </c>
      <c r="C13" s="7" t="s">
        <v>96</v>
      </c>
      <c r="D13" s="132">
        <v>2.99</v>
      </c>
      <c r="E13" s="38">
        <f>ROUND((D13*'Salários.VA.VT.QteDias.LDI.T'!$D$48),2)</f>
        <v>0.31</v>
      </c>
      <c r="F13" s="38">
        <f>ROUND((((D13+E13)/(1-'Salários.VA.VT.QteDias.LDI.T'!$D$56))*'Salários.VA.VT.QteDias.LDI.T'!$D$56),2)</f>
        <v>0.31</v>
      </c>
      <c r="G13" s="38">
        <f t="shared" si="1"/>
        <v>3.61</v>
      </c>
      <c r="H13" s="7"/>
      <c r="I13" s="7">
        <v>10</v>
      </c>
      <c r="J13" s="38">
        <f t="shared" si="2"/>
        <v>36.1</v>
      </c>
    </row>
    <row r="14" spans="1:10" s="23" customFormat="1" ht="19.5" customHeight="1" x14ac:dyDescent="0.3">
      <c r="A14" s="3">
        <f t="shared" si="0"/>
        <v>12</v>
      </c>
      <c r="B14" s="37" t="s">
        <v>126</v>
      </c>
      <c r="C14" s="7" t="s">
        <v>96</v>
      </c>
      <c r="D14" s="132">
        <v>18.27</v>
      </c>
      <c r="E14" s="38">
        <f>ROUND((D14*'Salários.VA.VT.QteDias.LDI.T'!$D$48),2)</f>
        <v>1.88</v>
      </c>
      <c r="F14" s="38">
        <f>ROUND((((D14+E14)/(1-'Salários.VA.VT.QteDias.LDI.T'!$D$56))*'Salários.VA.VT.QteDias.LDI.T'!$D$56),2)</f>
        <v>1.91</v>
      </c>
      <c r="G14" s="38">
        <f t="shared" si="1"/>
        <v>22.06</v>
      </c>
      <c r="H14" s="7"/>
      <c r="I14" s="7">
        <v>1</v>
      </c>
      <c r="J14" s="38">
        <f t="shared" si="2"/>
        <v>22.06</v>
      </c>
    </row>
    <row r="15" spans="1:10" s="23" customFormat="1" ht="19.5" customHeight="1" x14ac:dyDescent="0.3">
      <c r="A15" s="3">
        <f t="shared" si="0"/>
        <v>13</v>
      </c>
      <c r="B15" s="37" t="s">
        <v>127</v>
      </c>
      <c r="C15" s="7" t="s">
        <v>96</v>
      </c>
      <c r="D15" s="132">
        <v>2.52</v>
      </c>
      <c r="E15" s="38">
        <f>ROUND((D15*'Salários.VA.VT.QteDias.LDI.T'!$D$48),2)</f>
        <v>0.26</v>
      </c>
      <c r="F15" s="38">
        <f>ROUND((((D15+E15)/(1-'Salários.VA.VT.QteDias.LDI.T'!$D$56))*'Salários.VA.VT.QteDias.LDI.T'!$D$56),2)</f>
        <v>0.26</v>
      </c>
      <c r="G15" s="38">
        <f t="shared" si="1"/>
        <v>3.04</v>
      </c>
      <c r="H15" s="7" t="s">
        <v>115</v>
      </c>
      <c r="I15" s="7"/>
      <c r="J15" s="38">
        <f t="shared" si="2"/>
        <v>0</v>
      </c>
    </row>
    <row r="16" spans="1:10" s="23" customFormat="1" ht="19.5" customHeight="1" x14ac:dyDescent="0.3">
      <c r="A16" s="3">
        <f t="shared" si="0"/>
        <v>14</v>
      </c>
      <c r="B16" s="37" t="s">
        <v>128</v>
      </c>
      <c r="C16" s="7" t="s">
        <v>96</v>
      </c>
      <c r="D16" s="132">
        <v>17.36</v>
      </c>
      <c r="E16" s="38">
        <f>ROUND((D16*'Salários.VA.VT.QteDias.LDI.T'!$D$48),2)</f>
        <v>1.79</v>
      </c>
      <c r="F16" s="38">
        <f>ROUND((((D16+E16)/(1-'Salários.VA.VT.QteDias.LDI.T'!$D$56))*'Salários.VA.VT.QteDias.LDI.T'!$D$56),2)</f>
        <v>1.81</v>
      </c>
      <c r="G16" s="38">
        <f t="shared" si="1"/>
        <v>20.96</v>
      </c>
      <c r="H16" s="7" t="s">
        <v>115</v>
      </c>
      <c r="I16" s="7"/>
      <c r="J16" s="38">
        <f t="shared" si="2"/>
        <v>0</v>
      </c>
    </row>
    <row r="17" spans="1:10" s="23" customFormat="1" ht="19.5" customHeight="1" x14ac:dyDescent="0.3">
      <c r="A17" s="3">
        <f t="shared" si="0"/>
        <v>15</v>
      </c>
      <c r="B17" s="37" t="s">
        <v>129</v>
      </c>
      <c r="C17" s="7" t="s">
        <v>130</v>
      </c>
      <c r="D17" s="132">
        <v>48.27</v>
      </c>
      <c r="E17" s="38">
        <f>ROUND((D17*'Salários.VA.VT.QteDias.LDI.T'!$D$48),2)</f>
        <v>4.97</v>
      </c>
      <c r="F17" s="38">
        <f>ROUND((((D17+E17)/(1-'Salários.VA.VT.QteDias.LDI.T'!$D$56))*'Salários.VA.VT.QteDias.LDI.T'!$D$56),2)</f>
        <v>5.04</v>
      </c>
      <c r="G17" s="38">
        <f t="shared" si="1"/>
        <v>58.28</v>
      </c>
      <c r="H17" s="7"/>
      <c r="I17" s="7">
        <v>1</v>
      </c>
      <c r="J17" s="38">
        <f t="shared" si="2"/>
        <v>58.28</v>
      </c>
    </row>
    <row r="18" spans="1:10" s="23" customFormat="1" ht="19.5" customHeight="1" x14ac:dyDescent="0.3">
      <c r="A18" s="3">
        <f t="shared" si="0"/>
        <v>16</v>
      </c>
      <c r="B18" s="37" t="s">
        <v>131</v>
      </c>
      <c r="C18" s="7" t="s">
        <v>96</v>
      </c>
      <c r="D18" s="132">
        <v>4.3</v>
      </c>
      <c r="E18" s="38">
        <f>ROUND((D18*'Salários.VA.VT.QteDias.LDI.T'!$D$48),2)</f>
        <v>0.44</v>
      </c>
      <c r="F18" s="38">
        <f>ROUND((((D18+E18)/(1-'Salários.VA.VT.QteDias.LDI.T'!$D$56))*'Salários.VA.VT.QteDias.LDI.T'!$D$56),2)</f>
        <v>0.45</v>
      </c>
      <c r="G18" s="38">
        <f t="shared" si="1"/>
        <v>5.19</v>
      </c>
      <c r="H18" s="7"/>
      <c r="I18" s="7">
        <v>10</v>
      </c>
      <c r="J18" s="38">
        <f t="shared" si="2"/>
        <v>51.9</v>
      </c>
    </row>
    <row r="19" spans="1:10" s="23" customFormat="1" ht="19.5" customHeight="1" x14ac:dyDescent="0.3">
      <c r="A19" s="3">
        <f t="shared" si="0"/>
        <v>17</v>
      </c>
      <c r="B19" s="37" t="s">
        <v>132</v>
      </c>
      <c r="C19" s="7" t="s">
        <v>133</v>
      </c>
      <c r="D19" s="132">
        <v>2.56</v>
      </c>
      <c r="E19" s="38">
        <f>ROUND((D19*'Salários.VA.VT.QteDias.LDI.T'!$D$48),2)</f>
        <v>0.26</v>
      </c>
      <c r="F19" s="38">
        <f>ROUND((((D19+E19)/(1-'Salários.VA.VT.QteDias.LDI.T'!$D$56))*'Salários.VA.VT.QteDias.LDI.T'!$D$56),2)</f>
        <v>0.27</v>
      </c>
      <c r="G19" s="38">
        <f t="shared" si="1"/>
        <v>3.09</v>
      </c>
      <c r="H19" s="7"/>
      <c r="I19" s="7">
        <v>12</v>
      </c>
      <c r="J19" s="38">
        <f t="shared" si="2"/>
        <v>37.08</v>
      </c>
    </row>
    <row r="20" spans="1:10" s="23" customFormat="1" ht="19.5" customHeight="1" x14ac:dyDescent="0.3">
      <c r="A20" s="3">
        <f t="shared" si="0"/>
        <v>18</v>
      </c>
      <c r="B20" s="37" t="s">
        <v>134</v>
      </c>
      <c r="C20" s="7" t="s">
        <v>133</v>
      </c>
      <c r="D20" s="132">
        <v>7.18</v>
      </c>
      <c r="E20" s="38">
        <f>ROUND((D20*'Salários.VA.VT.QteDias.LDI.T'!$D$48),2)</f>
        <v>0.74</v>
      </c>
      <c r="F20" s="38">
        <f>ROUND((((D20+E20)/(1-'Salários.VA.VT.QteDias.LDI.T'!$D$56))*'Salários.VA.VT.QteDias.LDI.T'!$D$56),2)</f>
        <v>0.75</v>
      </c>
      <c r="G20" s="38">
        <f t="shared" si="1"/>
        <v>8.67</v>
      </c>
      <c r="H20" s="7" t="s">
        <v>115</v>
      </c>
      <c r="I20" s="7"/>
      <c r="J20" s="38">
        <f t="shared" si="2"/>
        <v>0</v>
      </c>
    </row>
    <row r="21" spans="1:10" s="23" customFormat="1" ht="19.5" customHeight="1" x14ac:dyDescent="0.3">
      <c r="A21" s="3">
        <f t="shared" si="0"/>
        <v>19</v>
      </c>
      <c r="B21" s="37" t="s">
        <v>135</v>
      </c>
      <c r="C21" s="7" t="s">
        <v>133</v>
      </c>
      <c r="D21" s="132">
        <v>6.19</v>
      </c>
      <c r="E21" s="38">
        <f>ROUND((D21*'Salários.VA.VT.QteDias.LDI.T'!$D$48),2)</f>
        <v>0.64</v>
      </c>
      <c r="F21" s="38">
        <f>ROUND((((D21+E21)/(1-'Salários.VA.VT.QteDias.LDI.T'!$D$56))*'Salários.VA.VT.QteDias.LDI.T'!$D$56),2)</f>
        <v>0.65</v>
      </c>
      <c r="G21" s="38">
        <f t="shared" si="1"/>
        <v>7.48</v>
      </c>
      <c r="H21" s="7"/>
      <c r="I21" s="7">
        <v>48</v>
      </c>
      <c r="J21" s="38">
        <f t="shared" si="2"/>
        <v>359.04</v>
      </c>
    </row>
    <row r="22" spans="1:10" s="23" customFormat="1" ht="19.5" customHeight="1" x14ac:dyDescent="0.3">
      <c r="A22" s="3">
        <f t="shared" si="0"/>
        <v>20</v>
      </c>
      <c r="B22" s="37" t="s">
        <v>136</v>
      </c>
      <c r="C22" s="7" t="s">
        <v>133</v>
      </c>
      <c r="D22" s="132">
        <v>7.68</v>
      </c>
      <c r="E22" s="38">
        <f>ROUND((D22*'Salários.VA.VT.QteDias.LDI.T'!$D$48),2)</f>
        <v>0.79</v>
      </c>
      <c r="F22" s="38">
        <f>ROUND((((D22+E22)/(1-'Salários.VA.VT.QteDias.LDI.T'!$D$56))*'Salários.VA.VT.QteDias.LDI.T'!$D$56),2)</f>
        <v>0.8</v>
      </c>
      <c r="G22" s="38">
        <f t="shared" si="1"/>
        <v>9.27</v>
      </c>
      <c r="H22" s="7" t="s">
        <v>115</v>
      </c>
      <c r="I22" s="7"/>
      <c r="J22" s="38">
        <f t="shared" si="2"/>
        <v>0</v>
      </c>
    </row>
    <row r="23" spans="1:10" s="23" customFormat="1" ht="19.5" customHeight="1" x14ac:dyDescent="0.3">
      <c r="A23" s="3">
        <f t="shared" si="0"/>
        <v>21</v>
      </c>
      <c r="B23" s="37" t="s">
        <v>137</v>
      </c>
      <c r="C23" s="7" t="s">
        <v>96</v>
      </c>
      <c r="D23" s="132">
        <v>41.31</v>
      </c>
      <c r="E23" s="38">
        <f>ROUND((D23*'Salários.VA.VT.QteDias.LDI.T'!$D$48),2)</f>
        <v>4.25</v>
      </c>
      <c r="F23" s="38">
        <f>ROUND((((D23+E23)/(1-'Salários.VA.VT.QteDias.LDI.T'!$D$56))*'Salários.VA.VT.QteDias.LDI.T'!$D$56),2)</f>
        <v>4.3099999999999996</v>
      </c>
      <c r="G23" s="38">
        <f t="shared" si="1"/>
        <v>49.87</v>
      </c>
      <c r="H23" s="7"/>
      <c r="I23" s="7">
        <v>1</v>
      </c>
      <c r="J23" s="38">
        <f t="shared" si="2"/>
        <v>49.87</v>
      </c>
    </row>
    <row r="24" spans="1:10" s="23" customFormat="1" ht="19.5" customHeight="1" x14ac:dyDescent="0.3">
      <c r="A24" s="3">
        <f t="shared" si="0"/>
        <v>22</v>
      </c>
      <c r="B24" s="37" t="s">
        <v>138</v>
      </c>
      <c r="C24" s="7" t="s">
        <v>96</v>
      </c>
      <c r="D24" s="132">
        <v>28.81</v>
      </c>
      <c r="E24" s="38">
        <f>ROUND((D24*'Salários.VA.VT.QteDias.LDI.T'!$D$48),2)</f>
        <v>2.97</v>
      </c>
      <c r="F24" s="38">
        <f>ROUND((((D24+E24)/(1-'Salários.VA.VT.QteDias.LDI.T'!$D$56))*'Salários.VA.VT.QteDias.LDI.T'!$D$56),2)</f>
        <v>3.01</v>
      </c>
      <c r="G24" s="38">
        <f t="shared" si="1"/>
        <v>34.79</v>
      </c>
      <c r="H24" s="7" t="s">
        <v>115</v>
      </c>
      <c r="I24" s="7"/>
      <c r="J24" s="38">
        <f t="shared" si="2"/>
        <v>0</v>
      </c>
    </row>
    <row r="25" spans="1:10" s="23" customFormat="1" ht="19.5" customHeight="1" x14ac:dyDescent="0.3">
      <c r="A25" s="3">
        <f t="shared" si="0"/>
        <v>23</v>
      </c>
      <c r="B25" s="37" t="s">
        <v>139</v>
      </c>
      <c r="C25" s="7" t="s">
        <v>96</v>
      </c>
      <c r="D25" s="132">
        <v>87.5</v>
      </c>
      <c r="E25" s="38">
        <f>ROUND((D25*'Salários.VA.VT.QteDias.LDI.T'!$D$48),2)</f>
        <v>9.01</v>
      </c>
      <c r="F25" s="38">
        <f>ROUND((((D25+E25)/(1-'Salários.VA.VT.QteDias.LDI.T'!$D$56))*'Salários.VA.VT.QteDias.LDI.T'!$D$56),2)</f>
        <v>9.14</v>
      </c>
      <c r="G25" s="38">
        <f t="shared" si="1"/>
        <v>105.65</v>
      </c>
      <c r="H25" s="7"/>
      <c r="I25" s="7">
        <v>1</v>
      </c>
      <c r="J25" s="38">
        <f t="shared" si="2"/>
        <v>105.65</v>
      </c>
    </row>
    <row r="26" spans="1:10" s="23" customFormat="1" ht="19.5" customHeight="1" x14ac:dyDescent="0.3">
      <c r="A26" s="3">
        <f t="shared" si="0"/>
        <v>24</v>
      </c>
      <c r="B26" s="37" t="s">
        <v>140</v>
      </c>
      <c r="C26" s="7" t="s">
        <v>96</v>
      </c>
      <c r="D26" s="132">
        <v>14.33</v>
      </c>
      <c r="E26" s="38">
        <f>ROUND((D26*'Salários.VA.VT.QteDias.LDI.T'!$D$48),2)</f>
        <v>1.48</v>
      </c>
      <c r="F26" s="38">
        <f>ROUND((((D26+E26)/(1-'Salários.VA.VT.QteDias.LDI.T'!$D$56))*'Salários.VA.VT.QteDias.LDI.T'!$D$56),2)</f>
        <v>1.5</v>
      </c>
      <c r="G26" s="38">
        <f t="shared" si="1"/>
        <v>17.309999999999999</v>
      </c>
      <c r="H26" s="7"/>
      <c r="I26" s="7">
        <v>2</v>
      </c>
      <c r="J26" s="38">
        <f t="shared" si="2"/>
        <v>34.619999999999997</v>
      </c>
    </row>
    <row r="27" spans="1:10" s="23" customFormat="1" ht="19.5" customHeight="1" x14ac:dyDescent="0.3">
      <c r="A27" s="3">
        <f t="shared" si="0"/>
        <v>25</v>
      </c>
      <c r="B27" s="37" t="s">
        <v>141</v>
      </c>
      <c r="C27" s="7" t="s">
        <v>96</v>
      </c>
      <c r="D27" s="132">
        <v>9.4600000000000009</v>
      </c>
      <c r="E27" s="38">
        <f>ROUND((D27*'Salários.VA.VT.QteDias.LDI.T'!$D$48),2)</f>
        <v>0.97</v>
      </c>
      <c r="F27" s="38">
        <f>ROUND((((D27+E27)/(1-'Salários.VA.VT.QteDias.LDI.T'!$D$56))*'Salários.VA.VT.QteDias.LDI.T'!$D$56),2)</f>
        <v>0.99</v>
      </c>
      <c r="G27" s="38">
        <f t="shared" si="1"/>
        <v>11.42</v>
      </c>
      <c r="H27" s="7" t="s">
        <v>115</v>
      </c>
      <c r="I27" s="7"/>
      <c r="J27" s="38">
        <f t="shared" si="2"/>
        <v>0</v>
      </c>
    </row>
    <row r="28" spans="1:10" s="23" customFormat="1" ht="19.5" customHeight="1" x14ac:dyDescent="0.3">
      <c r="A28" s="3">
        <f t="shared" si="0"/>
        <v>26</v>
      </c>
      <c r="B28" s="37" t="s">
        <v>142</v>
      </c>
      <c r="C28" s="7" t="s">
        <v>96</v>
      </c>
      <c r="D28" s="132">
        <v>62.87</v>
      </c>
      <c r="E28" s="38">
        <f>ROUND((D28*'Salários.VA.VT.QteDias.LDI.T'!$D$48),2)</f>
        <v>6.48</v>
      </c>
      <c r="F28" s="38">
        <f>ROUND((((D28+E28)/(1-'Salários.VA.VT.QteDias.LDI.T'!$D$56))*'Salários.VA.VT.QteDias.LDI.T'!$D$56),2)</f>
        <v>6.57</v>
      </c>
      <c r="G28" s="38">
        <f t="shared" si="1"/>
        <v>75.92</v>
      </c>
      <c r="H28" s="7" t="s">
        <v>115</v>
      </c>
      <c r="I28" s="7"/>
      <c r="J28" s="38">
        <f t="shared" si="2"/>
        <v>0</v>
      </c>
    </row>
    <row r="29" spans="1:10" s="23" customFormat="1" ht="19.5" customHeight="1" x14ac:dyDescent="0.3">
      <c r="A29" s="3">
        <f t="shared" si="0"/>
        <v>27</v>
      </c>
      <c r="B29" s="37" t="s">
        <v>143</v>
      </c>
      <c r="C29" s="7" t="s">
        <v>96</v>
      </c>
      <c r="D29" s="132">
        <v>1.93</v>
      </c>
      <c r="E29" s="38">
        <f>ROUND((D29*'Salários.VA.VT.QteDias.LDI.T'!$D$48),2)</f>
        <v>0.2</v>
      </c>
      <c r="F29" s="38">
        <f>ROUND((((D29+E29)/(1-'Salários.VA.VT.QteDias.LDI.T'!$D$56))*'Salários.VA.VT.QteDias.LDI.T'!$D$56),2)</f>
        <v>0.2</v>
      </c>
      <c r="G29" s="38">
        <f t="shared" si="1"/>
        <v>2.33</v>
      </c>
      <c r="H29" s="7"/>
      <c r="I29" s="7">
        <v>10</v>
      </c>
      <c r="J29" s="38">
        <f t="shared" si="2"/>
        <v>23.3</v>
      </c>
    </row>
    <row r="30" spans="1:10" s="23" customFormat="1" ht="19.5" customHeight="1" x14ac:dyDescent="0.3">
      <c r="A30" s="3">
        <f t="shared" si="0"/>
        <v>28</v>
      </c>
      <c r="B30" s="37" t="s">
        <v>144</v>
      </c>
      <c r="C30" s="7" t="s">
        <v>96</v>
      </c>
      <c r="D30" s="132">
        <v>25.46</v>
      </c>
      <c r="E30" s="38">
        <f>ROUND((D30*'Salários.VA.VT.QteDias.LDI.T'!$D$48),2)</f>
        <v>2.62</v>
      </c>
      <c r="F30" s="38">
        <f>ROUND((((D30+E30)/(1-'Salários.VA.VT.QteDias.LDI.T'!$D$56))*'Salários.VA.VT.QteDias.LDI.T'!$D$56),2)</f>
        <v>2.66</v>
      </c>
      <c r="G30" s="38">
        <f t="shared" si="1"/>
        <v>30.74</v>
      </c>
      <c r="H30" s="7" t="s">
        <v>115</v>
      </c>
      <c r="I30" s="7"/>
      <c r="J30" s="38">
        <f t="shared" si="2"/>
        <v>0</v>
      </c>
    </row>
    <row r="31" spans="1:10" s="23" customFormat="1" ht="19.5" customHeight="1" x14ac:dyDescent="0.3">
      <c r="A31" s="3">
        <f t="shared" si="0"/>
        <v>29</v>
      </c>
      <c r="B31" s="37" t="s">
        <v>145</v>
      </c>
      <c r="C31" s="7" t="s">
        <v>96</v>
      </c>
      <c r="D31" s="132">
        <v>4.62</v>
      </c>
      <c r="E31" s="38">
        <f>ROUND((D31*'Salários.VA.VT.QteDias.LDI.T'!$D$48),2)</f>
        <v>0.48</v>
      </c>
      <c r="F31" s="38">
        <f>ROUND((((D31+E31)/(1-'Salários.VA.VT.QteDias.LDI.T'!$D$56))*'Salários.VA.VT.QteDias.LDI.T'!$D$56),2)</f>
        <v>0.48</v>
      </c>
      <c r="G31" s="38">
        <f t="shared" si="1"/>
        <v>5.58</v>
      </c>
      <c r="H31" s="7" t="s">
        <v>115</v>
      </c>
      <c r="I31" s="7"/>
      <c r="J31" s="38">
        <f t="shared" si="2"/>
        <v>0</v>
      </c>
    </row>
    <row r="32" spans="1:10" s="23" customFormat="1" ht="19.5" customHeight="1" x14ac:dyDescent="0.3">
      <c r="A32" s="3">
        <f t="shared" si="0"/>
        <v>30</v>
      </c>
      <c r="B32" s="37" t="s">
        <v>146</v>
      </c>
      <c r="C32" s="7" t="s">
        <v>133</v>
      </c>
      <c r="D32" s="132">
        <v>5.33</v>
      </c>
      <c r="E32" s="38">
        <f>ROUND((D32*'Salários.VA.VT.QteDias.LDI.T'!$D$48),2)</f>
        <v>0.55000000000000004</v>
      </c>
      <c r="F32" s="38">
        <f>ROUND((((D32+E32)/(1-'Salários.VA.VT.QteDias.LDI.T'!$D$56))*'Salários.VA.VT.QteDias.LDI.T'!$D$56),2)</f>
        <v>0.56000000000000005</v>
      </c>
      <c r="G32" s="38">
        <f t="shared" si="1"/>
        <v>6.44</v>
      </c>
      <c r="H32" s="7"/>
      <c r="I32" s="7">
        <v>12</v>
      </c>
      <c r="J32" s="38">
        <f t="shared" si="2"/>
        <v>77.28</v>
      </c>
    </row>
    <row r="33" spans="1:10" s="23" customFormat="1" ht="19.5" customHeight="1" x14ac:dyDescent="0.3">
      <c r="A33" s="3">
        <f t="shared" si="0"/>
        <v>31</v>
      </c>
      <c r="B33" s="37" t="s">
        <v>147</v>
      </c>
      <c r="C33" s="7" t="s">
        <v>148</v>
      </c>
      <c r="D33" s="132">
        <v>3.45</v>
      </c>
      <c r="E33" s="38">
        <f>ROUND((D33*'Salários.VA.VT.QteDias.LDI.T'!$D$48),2)</f>
        <v>0.36</v>
      </c>
      <c r="F33" s="38">
        <f>ROUND((((D33+E33)/(1-'Salários.VA.VT.QteDias.LDI.T'!$D$56))*'Salários.VA.VT.QteDias.LDI.T'!$D$56),2)</f>
        <v>0.36</v>
      </c>
      <c r="G33" s="38">
        <f t="shared" si="1"/>
        <v>4.17</v>
      </c>
      <c r="H33" s="7"/>
      <c r="I33" s="7">
        <v>10</v>
      </c>
      <c r="J33" s="38">
        <f t="shared" si="2"/>
        <v>41.7</v>
      </c>
    </row>
    <row r="34" spans="1:10" s="23" customFormat="1" ht="19.5" customHeight="1" x14ac:dyDescent="0.3">
      <c r="A34" s="3">
        <f t="shared" si="0"/>
        <v>32</v>
      </c>
      <c r="B34" s="37" t="s">
        <v>149</v>
      </c>
      <c r="C34" s="7" t="s">
        <v>148</v>
      </c>
      <c r="D34" s="132">
        <v>3.44</v>
      </c>
      <c r="E34" s="38">
        <f>ROUND((D34*'Salários.VA.VT.QteDias.LDI.T'!$D$48),2)</f>
        <v>0.35</v>
      </c>
      <c r="F34" s="38">
        <f>ROUND((((D34+E34)/(1-'Salários.VA.VT.QteDias.LDI.T'!$D$56))*'Salários.VA.VT.QteDias.LDI.T'!$D$56),2)</f>
        <v>0.36</v>
      </c>
      <c r="G34" s="38">
        <f t="shared" si="1"/>
        <v>4.1500000000000004</v>
      </c>
      <c r="H34" s="7" t="s">
        <v>115</v>
      </c>
      <c r="I34" s="7"/>
      <c r="J34" s="38">
        <f t="shared" si="2"/>
        <v>0</v>
      </c>
    </row>
    <row r="35" spans="1:10" s="23" customFormat="1" ht="19.5" customHeight="1" x14ac:dyDescent="0.3">
      <c r="A35" s="3">
        <f t="shared" ref="A35:A64" si="3">ROW() - ROW($A$2)</f>
        <v>33</v>
      </c>
      <c r="B35" s="37" t="s">
        <v>150</v>
      </c>
      <c r="C35" s="7" t="s">
        <v>148</v>
      </c>
      <c r="D35" s="132">
        <v>97.21</v>
      </c>
      <c r="E35" s="38">
        <f>ROUND((D35*'Salários.VA.VT.QteDias.LDI.T'!$D$48),2)</f>
        <v>10.01</v>
      </c>
      <c r="F35" s="38">
        <f>ROUND((((D35+E35)/(1-'Salários.VA.VT.QteDias.LDI.T'!$D$56))*'Salários.VA.VT.QteDias.LDI.T'!$D$56),2)</f>
        <v>10.15</v>
      </c>
      <c r="G35" s="38">
        <f t="shared" ref="G35:G61" si="4">ROUND((D35+E35+F35),2)</f>
        <v>117.37</v>
      </c>
      <c r="H35" s="7"/>
      <c r="I35" s="7">
        <v>1</v>
      </c>
      <c r="J35" s="38">
        <f t="shared" ref="J35:J61" si="5">ROUND((G35*I35),2)</f>
        <v>117.37</v>
      </c>
    </row>
    <row r="36" spans="1:10" s="23" customFormat="1" ht="19.5" customHeight="1" x14ac:dyDescent="0.3">
      <c r="A36" s="3">
        <f t="shared" si="3"/>
        <v>34</v>
      </c>
      <c r="B36" s="37" t="s">
        <v>151</v>
      </c>
      <c r="C36" s="7" t="s">
        <v>148</v>
      </c>
      <c r="D36" s="132">
        <v>121.57</v>
      </c>
      <c r="E36" s="38">
        <f>ROUND((D36*'Salários.VA.VT.QteDias.LDI.T'!$D$48),2)</f>
        <v>12.52</v>
      </c>
      <c r="F36" s="38">
        <f>ROUND((((D36+E36)/(1-'Salários.VA.VT.QteDias.LDI.T'!$D$56))*'Salários.VA.VT.QteDias.LDI.T'!$D$56),2)</f>
        <v>12.7</v>
      </c>
      <c r="G36" s="38">
        <f t="shared" si="4"/>
        <v>146.79</v>
      </c>
      <c r="H36" s="7" t="s">
        <v>115</v>
      </c>
      <c r="I36" s="7"/>
      <c r="J36" s="38">
        <f t="shared" si="5"/>
        <v>0</v>
      </c>
    </row>
    <row r="37" spans="1:10" s="23" customFormat="1" ht="19.5" customHeight="1" x14ac:dyDescent="0.3">
      <c r="A37" s="7">
        <f t="shared" si="3"/>
        <v>35</v>
      </c>
      <c r="B37" s="37" t="s">
        <v>152</v>
      </c>
      <c r="C37" s="7" t="s">
        <v>148</v>
      </c>
      <c r="D37" s="132">
        <v>131.30000000000001</v>
      </c>
      <c r="E37" s="38">
        <f>ROUND((D37*'Salários.VA.VT.QteDias.LDI.T'!$D$48),2)</f>
        <v>13.52</v>
      </c>
      <c r="F37" s="38">
        <f>ROUND((((D37+E37)/(1-'Salários.VA.VT.QteDias.LDI.T'!$D$56))*'Salários.VA.VT.QteDias.LDI.T'!$D$56),2)</f>
        <v>13.71</v>
      </c>
      <c r="G37" s="38">
        <f t="shared" si="4"/>
        <v>158.53</v>
      </c>
      <c r="H37" s="7" t="s">
        <v>115</v>
      </c>
      <c r="I37" s="7"/>
      <c r="J37" s="38">
        <f t="shared" si="5"/>
        <v>0</v>
      </c>
    </row>
    <row r="38" spans="1:10" s="23" customFormat="1" ht="19.5" customHeight="1" x14ac:dyDescent="0.3">
      <c r="A38" s="7">
        <f t="shared" si="3"/>
        <v>36</v>
      </c>
      <c r="B38" s="37" t="s">
        <v>153</v>
      </c>
      <c r="C38" s="7" t="s">
        <v>133</v>
      </c>
      <c r="D38" s="132">
        <v>5.38</v>
      </c>
      <c r="E38" s="38">
        <f>ROUND((D38*'Salários.VA.VT.QteDias.LDI.T'!$D$48),2)</f>
        <v>0.55000000000000004</v>
      </c>
      <c r="F38" s="38">
        <f>ROUND((((D38+E38)/(1-'Salários.VA.VT.QteDias.LDI.T'!$D$56))*'Salários.VA.VT.QteDias.LDI.T'!$D$56),2)</f>
        <v>0.56000000000000005</v>
      </c>
      <c r="G38" s="38">
        <f t="shared" si="4"/>
        <v>6.49</v>
      </c>
      <c r="H38" s="7"/>
      <c r="I38" s="7">
        <v>12</v>
      </c>
      <c r="J38" s="38">
        <f t="shared" si="5"/>
        <v>77.88</v>
      </c>
    </row>
    <row r="39" spans="1:10" s="23" customFormat="1" ht="19.5" customHeight="1" x14ac:dyDescent="0.3">
      <c r="A39" s="7">
        <f t="shared" si="3"/>
        <v>37</v>
      </c>
      <c r="B39" s="44" t="s">
        <v>154</v>
      </c>
      <c r="C39" s="7" t="s">
        <v>96</v>
      </c>
      <c r="D39" s="132">
        <v>2.11</v>
      </c>
      <c r="E39" s="38">
        <f>ROUND((D39*'Salários.VA.VT.QteDias.LDI.T'!$D$48),2)</f>
        <v>0.22</v>
      </c>
      <c r="F39" s="38">
        <f>ROUND((((D39+E39)/(1-'Salários.VA.VT.QteDias.LDI.T'!$D$56))*'Salários.VA.VT.QteDias.LDI.T'!$D$56),2)</f>
        <v>0.22</v>
      </c>
      <c r="G39" s="38">
        <f t="shared" si="4"/>
        <v>2.5499999999999998</v>
      </c>
      <c r="H39" s="7" t="s">
        <v>115</v>
      </c>
      <c r="I39" s="7"/>
      <c r="J39" s="38">
        <f t="shared" si="5"/>
        <v>0</v>
      </c>
    </row>
    <row r="40" spans="1:10" s="23" customFormat="1" ht="19.5" customHeight="1" x14ac:dyDescent="0.3">
      <c r="A40" s="7">
        <f t="shared" si="3"/>
        <v>38</v>
      </c>
      <c r="B40" s="21" t="s">
        <v>155</v>
      </c>
      <c r="C40" s="7" t="s">
        <v>96</v>
      </c>
      <c r="D40" s="132">
        <v>4.1900000000000004</v>
      </c>
      <c r="E40" s="38">
        <f>ROUND((D40*'Salários.VA.VT.QteDias.LDI.T'!$D$48),2)</f>
        <v>0.43</v>
      </c>
      <c r="F40" s="38">
        <f>ROUND((((D40+E40)/(1-'Salários.VA.VT.QteDias.LDI.T'!$D$56))*'Salários.VA.VT.QteDias.LDI.T'!$D$56),2)</f>
        <v>0.44</v>
      </c>
      <c r="G40" s="38">
        <f t="shared" si="4"/>
        <v>5.0599999999999996</v>
      </c>
      <c r="H40" s="7" t="s">
        <v>115</v>
      </c>
      <c r="I40" s="7"/>
      <c r="J40" s="38">
        <f t="shared" si="5"/>
        <v>0</v>
      </c>
    </row>
    <row r="41" spans="1:10" s="23" customFormat="1" ht="19.5" customHeight="1" x14ac:dyDescent="0.3">
      <c r="A41" s="7">
        <f t="shared" si="3"/>
        <v>39</v>
      </c>
      <c r="B41" s="45" t="s">
        <v>156</v>
      </c>
      <c r="C41" s="7" t="s">
        <v>96</v>
      </c>
      <c r="D41" s="132">
        <v>24.1</v>
      </c>
      <c r="E41" s="38">
        <f>ROUND((D41*'Salários.VA.VT.QteDias.LDI.T'!$D$48),2)</f>
        <v>2.48</v>
      </c>
      <c r="F41" s="38">
        <f>ROUND((((D41+E41)/(1-'Salários.VA.VT.QteDias.LDI.T'!$D$56))*'Salários.VA.VT.QteDias.LDI.T'!$D$56),2)</f>
        <v>2.52</v>
      </c>
      <c r="G41" s="38">
        <f t="shared" si="4"/>
        <v>29.1</v>
      </c>
      <c r="H41" s="7" t="s">
        <v>115</v>
      </c>
      <c r="I41" s="7"/>
      <c r="J41" s="38">
        <f t="shared" si="5"/>
        <v>0</v>
      </c>
    </row>
    <row r="42" spans="1:10" s="23" customFormat="1" ht="19.5" customHeight="1" x14ac:dyDescent="0.3">
      <c r="A42" s="7">
        <f t="shared" si="3"/>
        <v>40</v>
      </c>
      <c r="B42" s="37" t="s">
        <v>157</v>
      </c>
      <c r="C42" s="7" t="s">
        <v>96</v>
      </c>
      <c r="D42" s="132">
        <v>76.55</v>
      </c>
      <c r="E42" s="38">
        <f>ROUND((D42*'Salários.VA.VT.QteDias.LDI.T'!$D$48),2)</f>
        <v>7.88</v>
      </c>
      <c r="F42" s="38">
        <f>ROUND((((D42+E42)/(1-'Salários.VA.VT.QteDias.LDI.T'!$D$56))*'Salários.VA.VT.QteDias.LDI.T'!$D$56),2)</f>
        <v>7.99</v>
      </c>
      <c r="G42" s="38">
        <f t="shared" si="4"/>
        <v>92.42</v>
      </c>
      <c r="H42" s="7"/>
      <c r="I42" s="7">
        <v>1</v>
      </c>
      <c r="J42" s="38">
        <f t="shared" si="5"/>
        <v>92.42</v>
      </c>
    </row>
    <row r="43" spans="1:10" s="23" customFormat="1" ht="19.5" customHeight="1" x14ac:dyDescent="0.3">
      <c r="A43" s="7">
        <f t="shared" si="3"/>
        <v>41</v>
      </c>
      <c r="B43" s="37" t="s">
        <v>158</v>
      </c>
      <c r="C43" s="7" t="s">
        <v>159</v>
      </c>
      <c r="D43" s="132">
        <v>50.65</v>
      </c>
      <c r="E43" s="38">
        <f>ROUND((D43*'Salários.VA.VT.QteDias.LDI.T'!$D$48),2)</f>
        <v>5.22</v>
      </c>
      <c r="F43" s="38">
        <f>ROUND((((D43+E43)/(1-'Salários.VA.VT.QteDias.LDI.T'!$D$56))*'Salários.VA.VT.QteDias.LDI.T'!$D$56),2)</f>
        <v>5.29</v>
      </c>
      <c r="G43" s="38">
        <f t="shared" si="4"/>
        <v>61.16</v>
      </c>
      <c r="H43" s="7"/>
      <c r="I43" s="7">
        <v>1</v>
      </c>
      <c r="J43" s="38">
        <f t="shared" si="5"/>
        <v>61.16</v>
      </c>
    </row>
    <row r="44" spans="1:10" s="23" customFormat="1" ht="19.5" customHeight="1" x14ac:dyDescent="0.3">
      <c r="A44" s="7">
        <f t="shared" si="3"/>
        <v>42</v>
      </c>
      <c r="B44" s="37" t="s">
        <v>160</v>
      </c>
      <c r="C44" s="7" t="s">
        <v>96</v>
      </c>
      <c r="D44" s="132">
        <v>50.3</v>
      </c>
      <c r="E44" s="38">
        <f>ROUND((D44*'Salários.VA.VT.QteDias.LDI.T'!$D$48),2)</f>
        <v>5.18</v>
      </c>
      <c r="F44" s="38">
        <f>ROUND((((D44+E44)/(1-'Salários.VA.VT.QteDias.LDI.T'!$D$56))*'Salários.VA.VT.QteDias.LDI.T'!$D$56),2)</f>
        <v>5.25</v>
      </c>
      <c r="G44" s="38">
        <f t="shared" si="4"/>
        <v>60.73</v>
      </c>
      <c r="H44" s="7"/>
      <c r="I44" s="7">
        <v>1</v>
      </c>
      <c r="J44" s="38">
        <f t="shared" si="5"/>
        <v>60.73</v>
      </c>
    </row>
    <row r="45" spans="1:10" s="23" customFormat="1" ht="19.5" customHeight="1" x14ac:dyDescent="0.3">
      <c r="A45" s="7">
        <f t="shared" si="3"/>
        <v>43</v>
      </c>
      <c r="B45" s="37" t="s">
        <v>161</v>
      </c>
      <c r="C45" s="7" t="s">
        <v>96</v>
      </c>
      <c r="D45" s="132">
        <v>17.68</v>
      </c>
      <c r="E45" s="38">
        <f>ROUND((D45*'Salários.VA.VT.QteDias.LDI.T'!$D$48),2)</f>
        <v>1.82</v>
      </c>
      <c r="F45" s="38">
        <f>ROUND((((D45+E45)/(1-'Salários.VA.VT.QteDias.LDI.T'!$D$56))*'Salários.VA.VT.QteDias.LDI.T'!$D$56),2)</f>
        <v>1.85</v>
      </c>
      <c r="G45" s="38">
        <f t="shared" si="4"/>
        <v>21.35</v>
      </c>
      <c r="H45" s="7"/>
      <c r="I45" s="7">
        <v>1</v>
      </c>
      <c r="J45" s="38">
        <f t="shared" si="5"/>
        <v>21.35</v>
      </c>
    </row>
    <row r="46" spans="1:10" s="23" customFormat="1" ht="19.5" customHeight="1" x14ac:dyDescent="0.3">
      <c r="A46" s="7">
        <f t="shared" si="3"/>
        <v>44</v>
      </c>
      <c r="B46" s="37" t="s">
        <v>162</v>
      </c>
      <c r="C46" s="7" t="s">
        <v>96</v>
      </c>
      <c r="D46" s="132">
        <v>93.47</v>
      </c>
      <c r="E46" s="38">
        <f>ROUND((D46*'Salários.VA.VT.QteDias.LDI.T'!$D$48),2)</f>
        <v>9.6300000000000008</v>
      </c>
      <c r="F46" s="38">
        <f>ROUND((((D46+E46)/(1-'Salários.VA.VT.QteDias.LDI.T'!$D$56))*'Salários.VA.VT.QteDias.LDI.T'!$D$56),2)</f>
        <v>9.76</v>
      </c>
      <c r="G46" s="38">
        <f t="shared" si="4"/>
        <v>112.86</v>
      </c>
      <c r="H46" s="7" t="s">
        <v>115</v>
      </c>
      <c r="I46" s="7"/>
      <c r="J46" s="38">
        <f t="shared" si="5"/>
        <v>0</v>
      </c>
    </row>
    <row r="47" spans="1:10" s="23" customFormat="1" ht="19.5" customHeight="1" x14ac:dyDescent="0.3">
      <c r="A47" s="7">
        <f t="shared" si="3"/>
        <v>45</v>
      </c>
      <c r="B47" s="37" t="s">
        <v>163</v>
      </c>
      <c r="C47" s="7" t="s">
        <v>96</v>
      </c>
      <c r="D47" s="132">
        <v>18.54</v>
      </c>
      <c r="E47" s="38">
        <f>ROUND((D47*'Salários.VA.VT.QteDias.LDI.T'!$D$48),2)</f>
        <v>1.91</v>
      </c>
      <c r="F47" s="38">
        <f>ROUND((((D47+E47)/(1-'Salários.VA.VT.QteDias.LDI.T'!$D$56))*'Salários.VA.VT.QteDias.LDI.T'!$D$56),2)</f>
        <v>1.94</v>
      </c>
      <c r="G47" s="38">
        <f t="shared" si="4"/>
        <v>22.39</v>
      </c>
      <c r="H47" s="7"/>
      <c r="I47" s="7">
        <v>10</v>
      </c>
      <c r="J47" s="38">
        <f t="shared" si="5"/>
        <v>223.9</v>
      </c>
    </row>
    <row r="48" spans="1:10" s="23" customFormat="1" ht="19.5" customHeight="1" x14ac:dyDescent="0.3">
      <c r="A48" s="7">
        <f t="shared" si="3"/>
        <v>46</v>
      </c>
      <c r="B48" s="37" t="s">
        <v>164</v>
      </c>
      <c r="C48" s="7" t="s">
        <v>133</v>
      </c>
      <c r="D48" s="132">
        <v>4.95</v>
      </c>
      <c r="E48" s="38">
        <f>ROUND((D48*'Salários.VA.VT.QteDias.LDI.T'!$D$48),2)</f>
        <v>0.51</v>
      </c>
      <c r="F48" s="38">
        <f>ROUND((((D48+E48)/(1-'Salários.VA.VT.QteDias.LDI.T'!$D$56))*'Salários.VA.VT.QteDias.LDI.T'!$D$56),2)</f>
        <v>0.52</v>
      </c>
      <c r="G48" s="38">
        <f t="shared" si="4"/>
        <v>5.98</v>
      </c>
      <c r="H48" s="7" t="s">
        <v>115</v>
      </c>
      <c r="I48" s="7"/>
      <c r="J48" s="38">
        <f t="shared" si="5"/>
        <v>0</v>
      </c>
    </row>
    <row r="49" spans="1:10" s="23" customFormat="1" ht="19.5" customHeight="1" x14ac:dyDescent="0.3">
      <c r="A49" s="7">
        <f t="shared" si="3"/>
        <v>47</v>
      </c>
      <c r="B49" s="21" t="s">
        <v>165</v>
      </c>
      <c r="C49" s="7" t="s">
        <v>96</v>
      </c>
      <c r="D49" s="132">
        <v>8.1199999999999992</v>
      </c>
      <c r="E49" s="38">
        <f>ROUND((D49*'Salários.VA.VT.QteDias.LDI.T'!$D$48),2)</f>
        <v>0.84</v>
      </c>
      <c r="F49" s="38">
        <f>ROUND((((D49+E49)/(1-'Salários.VA.VT.QteDias.LDI.T'!$D$56))*'Salários.VA.VT.QteDias.LDI.T'!$D$56),2)</f>
        <v>0.85</v>
      </c>
      <c r="G49" s="38">
        <f t="shared" si="4"/>
        <v>9.81</v>
      </c>
      <c r="H49" s="7" t="s">
        <v>115</v>
      </c>
      <c r="I49" s="7"/>
      <c r="J49" s="38">
        <f t="shared" si="5"/>
        <v>0</v>
      </c>
    </row>
    <row r="50" spans="1:10" s="23" customFormat="1" ht="19.5" customHeight="1" x14ac:dyDescent="0.3">
      <c r="A50" s="7">
        <f t="shared" si="3"/>
        <v>48</v>
      </c>
      <c r="B50" s="37" t="s">
        <v>166</v>
      </c>
      <c r="C50" s="7" t="s">
        <v>96</v>
      </c>
      <c r="D50" s="132">
        <v>3.42</v>
      </c>
      <c r="E50" s="38">
        <f>ROUND((D50*'Salários.VA.VT.QteDias.LDI.T'!$D$48),2)</f>
        <v>0.35</v>
      </c>
      <c r="F50" s="38">
        <f>ROUND((((D50+E50)/(1-'Salários.VA.VT.QteDias.LDI.T'!$D$56))*'Salários.VA.VT.QteDias.LDI.T'!$D$56),2)</f>
        <v>0.36</v>
      </c>
      <c r="G50" s="38">
        <f t="shared" si="4"/>
        <v>4.13</v>
      </c>
      <c r="H50" s="7"/>
      <c r="I50" s="7">
        <v>12</v>
      </c>
      <c r="J50" s="38">
        <f t="shared" si="5"/>
        <v>49.56</v>
      </c>
    </row>
    <row r="51" spans="1:10" s="23" customFormat="1" ht="19.5" customHeight="1" x14ac:dyDescent="0.3">
      <c r="A51" s="7">
        <f t="shared" si="3"/>
        <v>49</v>
      </c>
      <c r="B51" s="44" t="s">
        <v>167</v>
      </c>
      <c r="C51" s="7" t="s">
        <v>96</v>
      </c>
      <c r="D51" s="132">
        <v>4.66</v>
      </c>
      <c r="E51" s="38">
        <f>ROUND((D51*'Salários.VA.VT.QteDias.LDI.T'!$D$48),2)</f>
        <v>0.48</v>
      </c>
      <c r="F51" s="38">
        <f>ROUND((((D51+E51)/(1-'Salários.VA.VT.QteDias.LDI.T'!$D$56))*'Salários.VA.VT.QteDias.LDI.T'!$D$56),2)</f>
        <v>0.49</v>
      </c>
      <c r="G51" s="38">
        <f t="shared" si="4"/>
        <v>5.63</v>
      </c>
      <c r="H51" s="7" t="s">
        <v>115</v>
      </c>
      <c r="I51" s="7"/>
      <c r="J51" s="38">
        <f t="shared" si="5"/>
        <v>0</v>
      </c>
    </row>
    <row r="52" spans="1:10" s="23" customFormat="1" ht="19.5" customHeight="1" x14ac:dyDescent="0.3">
      <c r="A52" s="7">
        <f t="shared" si="3"/>
        <v>50</v>
      </c>
      <c r="B52" s="21" t="s">
        <v>168</v>
      </c>
      <c r="C52" s="7" t="s">
        <v>96</v>
      </c>
      <c r="D52" s="132">
        <v>5.76</v>
      </c>
      <c r="E52" s="38">
        <f>ROUND((D52*'Salários.VA.VT.QteDias.LDI.T'!$D$48),2)</f>
        <v>0.59</v>
      </c>
      <c r="F52" s="38">
        <f>ROUND((((D52+E52)/(1-'Salários.VA.VT.QteDias.LDI.T'!$D$56))*'Salários.VA.VT.QteDias.LDI.T'!$D$56),2)</f>
        <v>0.6</v>
      </c>
      <c r="G52" s="38">
        <f t="shared" si="4"/>
        <v>6.95</v>
      </c>
      <c r="H52" s="7" t="s">
        <v>115</v>
      </c>
      <c r="I52" s="7"/>
      <c r="J52" s="38">
        <f t="shared" si="5"/>
        <v>0</v>
      </c>
    </row>
    <row r="53" spans="1:10" s="23" customFormat="1" ht="19.5" customHeight="1" x14ac:dyDescent="0.3">
      <c r="A53" s="7">
        <f t="shared" si="3"/>
        <v>51</v>
      </c>
      <c r="B53" s="37" t="s">
        <v>169</v>
      </c>
      <c r="C53" s="7" t="s">
        <v>96</v>
      </c>
      <c r="D53" s="132">
        <v>24.12</v>
      </c>
      <c r="E53" s="38">
        <f>ROUND((D53*'Salários.VA.VT.QteDias.LDI.T'!$D$48),2)</f>
        <v>2.48</v>
      </c>
      <c r="F53" s="38">
        <f>ROUND((((D53+E53)/(1-'Salários.VA.VT.QteDias.LDI.T'!$D$56))*'Salários.VA.VT.QteDias.LDI.T'!$D$56),2)</f>
        <v>2.52</v>
      </c>
      <c r="G53" s="38">
        <f t="shared" si="4"/>
        <v>29.12</v>
      </c>
      <c r="H53" s="7"/>
      <c r="I53" s="7">
        <v>1</v>
      </c>
      <c r="J53" s="38">
        <f t="shared" si="5"/>
        <v>29.12</v>
      </c>
    </row>
    <row r="54" spans="1:10" s="23" customFormat="1" ht="19.5" customHeight="1" x14ac:dyDescent="0.3">
      <c r="A54" s="7">
        <f t="shared" si="3"/>
        <v>52</v>
      </c>
      <c r="B54" s="37" t="s">
        <v>170</v>
      </c>
      <c r="C54" s="7" t="s">
        <v>96</v>
      </c>
      <c r="D54" s="132">
        <v>5.63</v>
      </c>
      <c r="E54" s="38">
        <f>ROUND((D54*'Salários.VA.VT.QteDias.LDI.T'!$D$48),2)</f>
        <v>0.57999999999999996</v>
      </c>
      <c r="F54" s="38">
        <f>ROUND((((D54+E54)/(1-'Salários.VA.VT.QteDias.LDI.T'!$D$56))*'Salários.VA.VT.QteDias.LDI.T'!$D$56),2)</f>
        <v>0.59</v>
      </c>
      <c r="G54" s="38">
        <f t="shared" si="4"/>
        <v>6.8</v>
      </c>
      <c r="H54" s="7"/>
      <c r="I54" s="7">
        <v>10</v>
      </c>
      <c r="J54" s="38">
        <f t="shared" si="5"/>
        <v>68</v>
      </c>
    </row>
    <row r="55" spans="1:10" s="23" customFormat="1" ht="19.5" customHeight="1" x14ac:dyDescent="0.3">
      <c r="A55" s="7">
        <f t="shared" si="3"/>
        <v>53</v>
      </c>
      <c r="B55" s="21" t="s">
        <v>171</v>
      </c>
      <c r="C55" s="7" t="s">
        <v>96</v>
      </c>
      <c r="D55" s="132">
        <v>59.14</v>
      </c>
      <c r="E55" s="38">
        <f>ROUND((D55*'Salários.VA.VT.QteDias.LDI.T'!$D$48),2)</f>
        <v>6.09</v>
      </c>
      <c r="F55" s="38">
        <f>ROUND((((D55+E55)/(1-'Salários.VA.VT.QteDias.LDI.T'!$D$56))*'Salários.VA.VT.QteDias.LDI.T'!$D$56),2)</f>
        <v>6.18</v>
      </c>
      <c r="G55" s="38">
        <f t="shared" si="4"/>
        <v>71.41</v>
      </c>
      <c r="H55" s="7" t="s">
        <v>115</v>
      </c>
      <c r="I55" s="7"/>
      <c r="J55" s="38">
        <f t="shared" si="5"/>
        <v>0</v>
      </c>
    </row>
    <row r="56" spans="1:10" s="23" customFormat="1" ht="19.5" customHeight="1" x14ac:dyDescent="0.3">
      <c r="A56" s="7">
        <f t="shared" si="3"/>
        <v>54</v>
      </c>
      <c r="B56" s="37" t="s">
        <v>172</v>
      </c>
      <c r="C56" s="7" t="s">
        <v>133</v>
      </c>
      <c r="D56" s="132">
        <v>10.67</v>
      </c>
      <c r="E56" s="38">
        <f>ROUND((D56*'Salários.VA.VT.QteDias.LDI.T'!$D$48),2)</f>
        <v>1.1000000000000001</v>
      </c>
      <c r="F56" s="38">
        <f>ROUND((((D56+E56)/(1-'Salários.VA.VT.QteDias.LDI.T'!$D$56))*'Salários.VA.VT.QteDias.LDI.T'!$D$56),2)</f>
        <v>1.1100000000000001</v>
      </c>
      <c r="G56" s="38">
        <f t="shared" si="4"/>
        <v>12.88</v>
      </c>
      <c r="H56" s="7" t="s">
        <v>115</v>
      </c>
      <c r="I56" s="7"/>
      <c r="J56" s="38">
        <f t="shared" si="5"/>
        <v>0</v>
      </c>
    </row>
    <row r="57" spans="1:10" s="23" customFormat="1" ht="19.5" customHeight="1" x14ac:dyDescent="0.3">
      <c r="A57" s="7">
        <f t="shared" si="3"/>
        <v>55</v>
      </c>
      <c r="B57" s="37" t="s">
        <v>173</v>
      </c>
      <c r="C57" s="7" t="s">
        <v>96</v>
      </c>
      <c r="D57" s="132">
        <v>17.63</v>
      </c>
      <c r="E57" s="38">
        <f>ROUND((D57*'Salários.VA.VT.QteDias.LDI.T'!$D$48),2)</f>
        <v>1.82</v>
      </c>
      <c r="F57" s="38">
        <f>ROUND((((D57+E57)/(1-'Salários.VA.VT.QteDias.LDI.T'!$D$56))*'Salários.VA.VT.QteDias.LDI.T'!$D$56),2)</f>
        <v>1.84</v>
      </c>
      <c r="G57" s="38">
        <f t="shared" si="4"/>
        <v>21.29</v>
      </c>
      <c r="H57" s="7"/>
      <c r="I57" s="7">
        <v>4</v>
      </c>
      <c r="J57" s="38">
        <f t="shared" si="5"/>
        <v>85.16</v>
      </c>
    </row>
    <row r="58" spans="1:10" s="23" customFormat="1" ht="19.5" customHeight="1" x14ac:dyDescent="0.3">
      <c r="A58" s="7">
        <f t="shared" si="3"/>
        <v>56</v>
      </c>
      <c r="B58" s="37" t="s">
        <v>174</v>
      </c>
      <c r="C58" s="7" t="s">
        <v>96</v>
      </c>
      <c r="D58" s="132">
        <v>236.91</v>
      </c>
      <c r="E58" s="38">
        <f>ROUND((D58*'Salários.VA.VT.QteDias.LDI.T'!$D$48),2)</f>
        <v>24.4</v>
      </c>
      <c r="F58" s="38">
        <f>ROUND((((D58+E58)/(1-'Salários.VA.VT.QteDias.LDI.T'!$D$56))*'Salários.VA.VT.QteDias.LDI.T'!$D$56),2)</f>
        <v>24.74</v>
      </c>
      <c r="G58" s="38">
        <f t="shared" si="4"/>
        <v>286.05</v>
      </c>
      <c r="H58" s="7"/>
      <c r="I58" s="7">
        <v>6</v>
      </c>
      <c r="J58" s="38">
        <f t="shared" si="5"/>
        <v>1716.3</v>
      </c>
    </row>
    <row r="59" spans="1:10" s="23" customFormat="1" ht="19.5" customHeight="1" x14ac:dyDescent="0.3">
      <c r="A59" s="7">
        <f t="shared" si="3"/>
        <v>57</v>
      </c>
      <c r="B59" s="37" t="s">
        <v>175</v>
      </c>
      <c r="C59" s="7" t="s">
        <v>130</v>
      </c>
      <c r="D59" s="132">
        <v>12.11</v>
      </c>
      <c r="E59" s="38">
        <f>ROUND((D59*'Salários.VA.VT.QteDias.LDI.T'!$D$48),2)</f>
        <v>1.25</v>
      </c>
      <c r="F59" s="38">
        <f>ROUND((((D59+E59)/(1-'Salários.VA.VT.QteDias.LDI.T'!$D$56))*'Salários.VA.VT.QteDias.LDI.T'!$D$56),2)</f>
        <v>1.27</v>
      </c>
      <c r="G59" s="38">
        <f t="shared" si="4"/>
        <v>14.63</v>
      </c>
      <c r="H59" s="7"/>
      <c r="I59" s="7">
        <v>10</v>
      </c>
      <c r="J59" s="38">
        <f t="shared" si="5"/>
        <v>146.30000000000001</v>
      </c>
    </row>
    <row r="60" spans="1:10" s="23" customFormat="1" ht="19.5" customHeight="1" x14ac:dyDescent="0.3">
      <c r="A60" s="7">
        <f t="shared" si="3"/>
        <v>58</v>
      </c>
      <c r="B60" s="37" t="s">
        <v>176</v>
      </c>
      <c r="C60" s="7" t="s">
        <v>130</v>
      </c>
      <c r="D60" s="132">
        <v>19.64</v>
      </c>
      <c r="E60" s="38">
        <f>ROUND((D60*'Salários.VA.VT.QteDias.LDI.T'!$D$48),2)</f>
        <v>2.02</v>
      </c>
      <c r="F60" s="38">
        <f>ROUND((((D60+E60)/(1-'Salários.VA.VT.QteDias.LDI.T'!$D$56))*'Salários.VA.VT.QteDias.LDI.T'!$D$56),2)</f>
        <v>2.0499999999999998</v>
      </c>
      <c r="G60" s="38">
        <f t="shared" si="4"/>
        <v>23.71</v>
      </c>
      <c r="H60" s="7" t="s">
        <v>115</v>
      </c>
      <c r="I60" s="7"/>
      <c r="J60" s="38">
        <f t="shared" si="5"/>
        <v>0</v>
      </c>
    </row>
    <row r="61" spans="1:10" s="23" customFormat="1" ht="19.5" customHeight="1" x14ac:dyDescent="0.3">
      <c r="A61" s="7">
        <f t="shared" si="3"/>
        <v>59</v>
      </c>
      <c r="B61" s="37" t="s">
        <v>177</v>
      </c>
      <c r="C61" s="7" t="s">
        <v>130</v>
      </c>
      <c r="D61" s="132">
        <v>23.91</v>
      </c>
      <c r="E61" s="38">
        <f>ROUND((D61*'Salários.VA.VT.QteDias.LDI.T'!$D$48),2)</f>
        <v>2.46</v>
      </c>
      <c r="F61" s="38">
        <f>ROUND((((D61+E61)/(1-'Salários.VA.VT.QteDias.LDI.T'!$D$56))*'Salários.VA.VT.QteDias.LDI.T'!$D$56),2)</f>
        <v>2.5</v>
      </c>
      <c r="G61" s="38">
        <f t="shared" si="4"/>
        <v>28.87</v>
      </c>
      <c r="H61" s="7" t="s">
        <v>115</v>
      </c>
      <c r="I61" s="7"/>
      <c r="J61" s="38">
        <f t="shared" si="5"/>
        <v>0</v>
      </c>
    </row>
    <row r="62" spans="1:10" s="23" customFormat="1" ht="19.5" customHeight="1" x14ac:dyDescent="0.3">
      <c r="A62" s="7">
        <f t="shared" si="3"/>
        <v>60</v>
      </c>
      <c r="B62" s="37"/>
      <c r="C62" s="7"/>
      <c r="D62" s="7"/>
      <c r="E62" s="7"/>
      <c r="F62" s="7"/>
      <c r="G62" s="7"/>
      <c r="H62" s="7"/>
      <c r="I62" s="7"/>
      <c r="J62" s="38"/>
    </row>
    <row r="63" spans="1:10" s="23" customFormat="1" ht="19.5" customHeight="1" x14ac:dyDescent="0.3">
      <c r="A63" s="7">
        <f t="shared" si="3"/>
        <v>61</v>
      </c>
      <c r="B63" s="37"/>
      <c r="C63" s="7"/>
      <c r="D63" s="7"/>
      <c r="E63" s="7"/>
      <c r="F63" s="7"/>
      <c r="G63" s="7"/>
      <c r="H63" s="7"/>
      <c r="I63" s="7"/>
      <c r="J63" s="38"/>
    </row>
    <row r="64" spans="1:10" s="23" customFormat="1" ht="19.5" customHeight="1" x14ac:dyDescent="0.3">
      <c r="A64" s="7">
        <f t="shared" si="3"/>
        <v>62</v>
      </c>
      <c r="B64" s="37"/>
      <c r="C64" s="7"/>
      <c r="D64" s="14">
        <f>TRUNC(SUM(D3:D62),2)</f>
        <v>1761.82</v>
      </c>
      <c r="E64" s="14">
        <f>TRUNC(SUM(E3:E62),2)</f>
        <v>181.44</v>
      </c>
      <c r="F64" s="14">
        <f>TRUNC(SUM(F3:F62),2)</f>
        <v>184.03</v>
      </c>
      <c r="G64" s="14">
        <f>TRUNC(SUM(G3:G62),2)</f>
        <v>2127.29</v>
      </c>
      <c r="H64" s="7"/>
      <c r="I64" s="7"/>
      <c r="J64" s="233">
        <f>ROUND(SUM(J3:J62),2)</f>
        <v>3829.63</v>
      </c>
    </row>
    <row r="65" spans="1:10" s="23" customFormat="1" ht="19.5" customHeight="1" x14ac:dyDescent="0.3">
      <c r="A65" s="42"/>
      <c r="B65" s="42"/>
      <c r="C65" s="42"/>
      <c r="D65" s="42"/>
      <c r="E65" s="42"/>
      <c r="F65" s="42"/>
      <c r="G65" s="42"/>
      <c r="H65" s="42"/>
      <c r="I65" s="42"/>
      <c r="J65" s="42"/>
    </row>
    <row r="66" spans="1:10" s="23" customFormat="1" ht="19.5" customHeight="1" x14ac:dyDescent="0.3">
      <c r="A66" s="42"/>
      <c r="B66" s="42"/>
      <c r="C66" s="42"/>
      <c r="D66" s="42"/>
      <c r="E66" s="42"/>
      <c r="F66" s="42"/>
      <c r="G66" s="42"/>
      <c r="H66" s="42"/>
      <c r="I66" s="42"/>
      <c r="J66" s="42"/>
    </row>
    <row r="67" spans="1:10" s="23" customFormat="1" ht="19.5" customHeight="1" x14ac:dyDescent="0.3">
      <c r="A67" s="25"/>
      <c r="B67" s="25"/>
      <c r="C67" s="25"/>
      <c r="D67" s="25"/>
      <c r="E67" s="25"/>
      <c r="F67" s="25"/>
      <c r="G67" s="25"/>
      <c r="H67" s="164" t="s">
        <v>111</v>
      </c>
      <c r="I67" s="164"/>
      <c r="J67" s="233">
        <f>ROUND((J64/12),2)</f>
        <v>319.14</v>
      </c>
    </row>
    <row r="68" spans="1:10" s="23" customFormat="1" ht="19.5" customHeight="1" x14ac:dyDescent="0.3">
      <c r="A68" s="25"/>
      <c r="B68" s="25"/>
      <c r="C68" s="25"/>
      <c r="D68" s="25"/>
      <c r="E68" s="25"/>
      <c r="F68" s="25"/>
      <c r="G68" s="25"/>
      <c r="H68" s="25"/>
      <c r="I68" s="25"/>
      <c r="J68" s="25"/>
    </row>
    <row r="69" spans="1:10" s="23" customFormat="1" ht="19.5" customHeight="1" x14ac:dyDescent="0.3">
      <c r="A69" s="25"/>
      <c r="B69" s="25"/>
      <c r="C69" s="25"/>
      <c r="D69" s="25"/>
      <c r="E69" s="25"/>
      <c r="F69" s="25"/>
      <c r="G69" s="25"/>
      <c r="H69" s="25"/>
      <c r="I69" s="25"/>
      <c r="J69" s="25"/>
    </row>
    <row r="70" spans="1:10" s="23" customFormat="1" ht="19.5" customHeight="1" x14ac:dyDescent="0.3">
      <c r="A70" s="25"/>
      <c r="B70" s="25"/>
      <c r="C70" s="25"/>
      <c r="D70" s="25"/>
      <c r="E70" s="25"/>
      <c r="F70" s="25"/>
      <c r="G70" s="25"/>
      <c r="H70" s="25"/>
      <c r="I70" s="25"/>
      <c r="J70" s="25"/>
    </row>
    <row r="71" spans="1:10" s="23" customFormat="1" ht="19.5" customHeight="1" x14ac:dyDescent="0.3">
      <c r="A71" s="25"/>
      <c r="B71" s="25"/>
      <c r="C71" s="25"/>
      <c r="D71" s="25"/>
      <c r="E71" s="25"/>
      <c r="F71" s="25"/>
      <c r="G71" s="25"/>
      <c r="H71" s="25"/>
      <c r="I71" s="25"/>
      <c r="J71" s="25"/>
    </row>
    <row r="72" spans="1:10" s="23" customFormat="1" ht="19.5" customHeight="1" x14ac:dyDescent="0.3">
      <c r="A72" s="25"/>
      <c r="B72" s="25"/>
      <c r="C72" s="25"/>
      <c r="D72" s="25"/>
      <c r="E72" s="25"/>
      <c r="F72" s="25"/>
      <c r="G72" s="25"/>
      <c r="H72" s="25"/>
      <c r="I72" s="25"/>
      <c r="J72" s="25"/>
    </row>
    <row r="73" spans="1:10" x14ac:dyDescent="0.3">
      <c r="A73" s="26"/>
      <c r="B73" s="26"/>
      <c r="C73" s="26"/>
      <c r="D73" s="26"/>
      <c r="E73" s="26"/>
      <c r="F73" s="26"/>
      <c r="G73" s="26"/>
      <c r="H73" s="26"/>
      <c r="I73" s="26"/>
      <c r="J73" s="26"/>
    </row>
    <row r="74" spans="1:10" x14ac:dyDescent="0.3">
      <c r="A74" s="26"/>
      <c r="B74" s="26"/>
      <c r="C74" s="26"/>
      <c r="D74" s="26"/>
      <c r="E74" s="26"/>
      <c r="F74" s="26"/>
      <c r="G74" s="26"/>
      <c r="H74" s="26"/>
      <c r="I74" s="26"/>
      <c r="J74" s="26"/>
    </row>
    <row r="75" spans="1:10" x14ac:dyDescent="0.3">
      <c r="A75" s="26"/>
      <c r="B75" s="26"/>
      <c r="C75" s="26"/>
      <c r="D75" s="26"/>
      <c r="E75" s="26"/>
      <c r="F75" s="26"/>
      <c r="G75" s="26"/>
      <c r="H75" s="26"/>
      <c r="I75" s="26"/>
      <c r="J75" s="26"/>
    </row>
  </sheetData>
  <sheetProtection sheet="1" objects="1" scenarios="1"/>
  <protectedRanges>
    <protectedRange sqref="D3:D61" name="Intervalo1"/>
  </protectedRanges>
  <mergeCells count="2">
    <mergeCell ref="A1:J1"/>
    <mergeCell ref="H67:I67"/>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INSTRUÇOES PARA PREENCHIMENTO</vt:lpstr>
      <vt:lpstr>Proposta de Preços</vt:lpstr>
      <vt:lpstr>NP</vt:lpstr>
      <vt:lpstr>PC</vt:lpstr>
      <vt:lpstr>Salários.VA.VT.QteDias.LDI.T</vt:lpstr>
      <vt:lpstr>Gás</vt:lpstr>
      <vt:lpstr>GA</vt:lpstr>
      <vt:lpstr>MLHCC - Ônus da Contratada</vt:lpstr>
      <vt:lpstr>MCC - Sob Demanda</vt:lpstr>
      <vt:lpstr>MLPH</vt:lpstr>
      <vt:lpstr>Unif</vt:lpstr>
      <vt:lpstr>EPI´s - LC</vt:lpstr>
      <vt:lpstr>AAII</vt:lpstr>
      <vt:lpstr>SLCeCopeiragem</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1</cp:revision>
  <dcterms:created xsi:type="dcterms:W3CDTF">2024-07-11T20:10:42Z</dcterms:created>
  <dcterms:modified xsi:type="dcterms:W3CDTF">2025-06-17T14:27:32Z</dcterms:modified>
  <dc:language>pt-BR</dc:language>
</cp:coreProperties>
</file>